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01 - ENGENHARIA\01 - KV ENGENHARIA\04 - COMERCIAL\01 - PRIVADOS\2025\53 - ASFALTO SÃO JOAO DO PARAISO\02 - ORÇAMENTO\"/>
    </mc:Choice>
  </mc:AlternateContent>
  <xr:revisionPtr revIDLastSave="0" documentId="13_ncr:1_{E0D98D1F-9DF8-4C4C-A8F0-D73636A53C1C}" xr6:coauthVersionLast="47" xr6:coauthVersionMax="47" xr10:uidLastSave="{00000000-0000-0000-0000-000000000000}"/>
  <bookViews>
    <workbookView xWindow="-120" yWindow="-120" windowWidth="38640" windowHeight="15720" tabRatio="781" activeTab="1" xr2:uid="{00000000-000D-0000-FFFF-FFFF00000000}"/>
  </bookViews>
  <sheets>
    <sheet name="RESUMO" sheetId="8" r:id="rId1"/>
    <sheet name="Orçamento Sintético" sheetId="1" r:id="rId2"/>
    <sheet name="BDI-SERVIÇOS" sheetId="26" r:id="rId3"/>
    <sheet name="QUADRO DE RUAS (2)" sheetId="13" r:id="rId4"/>
    <sheet name="REG. SUBLEITO" sheetId="27" r:id="rId5"/>
    <sheet name="BASE" sheetId="28" r:id="rId6"/>
    <sheet name="IMPRIMAÇÃO" sheetId="16" r:id="rId7"/>
    <sheet name="TSD" sheetId="17" r:id="rId8"/>
    <sheet name="TRANSP. BRITA (PAV)" sheetId="18" r:id="rId9"/>
    <sheet name="TRANSP. EMULSÃO" sheetId="19" r:id="rId10"/>
    <sheet name="CÁLCULO DE MEIO-FIO E SARJETA" sheetId="22" r:id="rId11"/>
    <sheet name="SIN. HORIZ" sheetId="14" r:id="rId12"/>
    <sheet name="SIN. VERTICAL" sheetId="15" r:id="rId13"/>
    <sheet name="ADM" sheetId="7" r:id="rId14"/>
    <sheet name="COMP - MOBILIZAÇÃO" sheetId="6" r:id="rId15"/>
    <sheet name="COMP. IMPRIMAÇÃO" sheetId="24" r:id="rId16"/>
    <sheet name="COMP. TSD" sheetId="25" r:id="rId17"/>
  </sheets>
  <externalReferences>
    <externalReference r:id="rId18"/>
    <externalReference r:id="rId19"/>
    <externalReference r:id="rId20"/>
  </externalReferences>
  <definedNames>
    <definedName name="__123Graph_A" hidden="1">[1]aux!$I$28:$M$28</definedName>
    <definedName name="__123Graph_AGraph1" hidden="1">[1]aux!$I$6:$M$6</definedName>
    <definedName name="__123Graph_AGraph10" hidden="1">[1]aux!$I$24:$M$24</definedName>
    <definedName name="__123Graph_AGraph11" hidden="1">[1]aux!$I$26:$M$26</definedName>
    <definedName name="__123Graph_AGraph12" hidden="1">[1]aux!$I$28:$M$28</definedName>
    <definedName name="__123Graph_AGraph2" hidden="1">[1]aux!$I$8:$M$8</definedName>
    <definedName name="__123Graph_AGraph3" hidden="1">[1]aux!$I$10:$M$10</definedName>
    <definedName name="__123Graph_AGraph4" hidden="1">[1]aux!$I$12:$M$12</definedName>
    <definedName name="__123Graph_AGraph5" hidden="1">[1]aux!$I$14:$M$14</definedName>
    <definedName name="__123Graph_AGraph6" hidden="1">[1]aux!$I$16:$M$16</definedName>
    <definedName name="__123Graph_AGraph7" hidden="1">[1]aux!$I$18:$M$18</definedName>
    <definedName name="__123Graph_AGraph8" hidden="1">[1]aux!$I$20:$M$20</definedName>
    <definedName name="__123Graph_AGraph9" hidden="1">[1]aux!$I$22:$M$22</definedName>
    <definedName name="__123Graph_B" hidden="1">[1]aux!$B$28:$F$28</definedName>
    <definedName name="__123Graph_BGraph1" hidden="1">[1]aux!$B$6:$F$6</definedName>
    <definedName name="__123Graph_BGraph10" hidden="1">[1]aux!$B$24:$F$24</definedName>
    <definedName name="__123Graph_BGraph11" hidden="1">[1]aux!$B$26:$F$26</definedName>
    <definedName name="__123Graph_BGraph12" hidden="1">[1]aux!$B$28:$F$28</definedName>
    <definedName name="__123Graph_BGraph2" hidden="1">[1]aux!$B$8:$F$8</definedName>
    <definedName name="__123Graph_BGraph3" hidden="1">[1]aux!$B$10:$F$10</definedName>
    <definedName name="__123Graph_BGraph4" hidden="1">[1]aux!$B$12:$F$12</definedName>
    <definedName name="__123Graph_BGraph5" hidden="1">[1]aux!$B$14:$F$14</definedName>
    <definedName name="__123Graph_BGraph6" hidden="1">[1]aux!$B$16:$F$16</definedName>
    <definedName name="__123Graph_BGraph7" hidden="1">[1]aux!$B$18:$F$18</definedName>
    <definedName name="__123Graph_BGraph8" hidden="1">[1]aux!$B$20:$F$20</definedName>
    <definedName name="__123Graph_BGraph9" hidden="1">[1]aux!$B$22:$F$22</definedName>
    <definedName name="__123Graph_X" hidden="1">[1]aux!$B$29:$F$29</definedName>
    <definedName name="__123Graph_XGraph1" hidden="1">[1]aux!$B$7:$F$7</definedName>
    <definedName name="__123Graph_XGraph10" hidden="1">[1]aux!$B$25:$F$25</definedName>
    <definedName name="__123Graph_XGraph11" hidden="1">[1]aux!$B$27:$F$27</definedName>
    <definedName name="__123Graph_XGraph12" hidden="1">[1]aux!$B$29:$F$29</definedName>
    <definedName name="__123Graph_XGraph2" hidden="1">[1]aux!$B$9:$F$9</definedName>
    <definedName name="__123Graph_XGraph3" hidden="1">[1]aux!$B$11:$F$11</definedName>
    <definedName name="__123Graph_XGraph4" hidden="1">[1]aux!$B$13:$F$13</definedName>
    <definedName name="__123Graph_XGraph5" hidden="1">[1]aux!$B$15:$F$15</definedName>
    <definedName name="__123Graph_XGraph6" hidden="1">[1]aux!$B$17:$F$17</definedName>
    <definedName name="__123Graph_XGraph7" hidden="1">[1]aux!$B$19:$F$19</definedName>
    <definedName name="__123Graph_XGraph8" hidden="1">[1]aux!$B$21:$F$21</definedName>
    <definedName name="__123Graph_XGraph9" hidden="1">[1]aux!$B$23:$F$23</definedName>
    <definedName name="_xlnm._FilterDatabase" hidden="1">[2]Orçamento!$A$13:$H$24</definedName>
    <definedName name="_Order1" hidden="1">255</definedName>
    <definedName name="_Order2" hidden="1">255</definedName>
    <definedName name="ACOMPANHAMENTO" hidden="1">IF(VALUE([3]MENU!$O$4)=2,"BM","PLE")</definedName>
    <definedName name="ant" localSheetId="13" hidden="1">{#N/A,#N/A,FALSE,"MO (2)"}</definedName>
    <definedName name="ant" localSheetId="2" hidden="1">{#N/A,#N/A,FALSE,"MO (2)"}</definedName>
    <definedName name="ant" localSheetId="3" hidden="1">{#N/A,#N/A,FALSE,"MO (2)"}</definedName>
    <definedName name="ant" localSheetId="0" hidden="1">{#N/A,#N/A,FALSE,"MO (2)"}</definedName>
    <definedName name="ant" hidden="1">{#N/A,#N/A,FALSE,"MO (2)"}</definedName>
    <definedName name="ant_1" localSheetId="13" hidden="1">{#N/A,#N/A,FALSE,"MO (2)"}</definedName>
    <definedName name="ant_1" localSheetId="2" hidden="1">{#N/A,#N/A,FALSE,"MO (2)"}</definedName>
    <definedName name="ant_1" localSheetId="3" hidden="1">{#N/A,#N/A,FALSE,"MO (2)"}</definedName>
    <definedName name="ant_1" localSheetId="0" hidden="1">{#N/A,#N/A,FALSE,"MO (2)"}</definedName>
    <definedName name="ant_1" hidden="1">{#N/A,#N/A,FALSE,"MO (2)"}</definedName>
    <definedName name="_xlnm.Print_Area" localSheetId="13">ADM!$A$1:$Q$21</definedName>
    <definedName name="_xlnm.Print_Area" localSheetId="5">BASE!$A$1:$P$31</definedName>
    <definedName name="_xlnm.Print_Area" localSheetId="10">'CÁLCULO DE MEIO-FIO E SARJETA'!$A$1:$I$83</definedName>
    <definedName name="_xlnm.Print_Area" localSheetId="14">'COMP - MOBILIZAÇÃO'!$A$1:$Q$57</definedName>
    <definedName name="_xlnm.Print_Area" localSheetId="15">'COMP. IMPRIMAÇÃO'!$A$1:$P$28</definedName>
    <definedName name="_xlnm.Print_Area" localSheetId="16">'COMP. TSD'!$A$1:$P$35</definedName>
    <definedName name="_xlnm.Print_Area" localSheetId="6">IMPRIMAÇÃO!$A$1:$J$28</definedName>
    <definedName name="_xlnm.Print_Area" localSheetId="1">'Orçamento Sintético'!$A$1:$J$45</definedName>
    <definedName name="_xlnm.Print_Area" localSheetId="3">'QUADRO DE RUAS (2)'!$A$1:$I$41</definedName>
    <definedName name="_xlnm.Print_Area" localSheetId="4">'REG. SUBLEITO'!$A$1:$S$28</definedName>
    <definedName name="_xlnm.Print_Area" localSheetId="0">RESUMO!$A$1:$F$19</definedName>
    <definedName name="_xlnm.Print_Area" localSheetId="11">'SIN. HORIZ'!$A$1:$ID$126</definedName>
    <definedName name="_xlnm.Print_Area" localSheetId="12">'SIN. VERTICAL'!$A$1:$O$67</definedName>
    <definedName name="_xlnm.Print_Area" localSheetId="8">'TRANSP. BRITA (PAV)'!$A$1:$H$31</definedName>
    <definedName name="_xlnm.Print_Area" localSheetId="9">'TRANSP. EMULSÃO'!$A$1:$I$51</definedName>
    <definedName name="_xlnm.Print_Area" localSheetId="7">TSD!$A$1:$J$28</definedName>
    <definedName name="AUTOEVENTO" hidden="1">[3]CÁLCULO!$A$12</definedName>
    <definedName name="BDI.Filtro" hidden="1">#REF!</definedName>
    <definedName name="BDI.Opcao" hidden="1">[3]DADOS!$F$18</definedName>
    <definedName name="BDI.TipoObra" hidden="1">#REF!</definedName>
    <definedName name="BM.AFAcumulado" hidden="1">[3]BM!$R1</definedName>
    <definedName name="BM.AFAnterior" hidden="1">[3]BM!$Q1</definedName>
    <definedName name="BM.MaxMed" hidden="1">IF(RegimeExecucao="Global",1,[3]BM!$G1)</definedName>
    <definedName name="BM.MEDAcumulado" hidden="1">IF(COUNTIF([3]BM!$AB$13:$AM$13,BM.medicao)&gt;0,SUM(OFFSET([3]BM!$AB1,0,0,1,MATCH(BM.medicao,[3]BM!$AB$13:$AM$13,0))),0)</definedName>
    <definedName name="BM.MEDAnterior" hidden="1">IF(COUNTIF([3]BM!$AB$13:$AM$13,BM.medicao-1)&gt;0,SUM(OFFSET([3]BM!$AB1,0,0,1,MATCH(BM.medicao-1,[3]BM!$AB$13:$AM$13,0))),0)</definedName>
    <definedName name="BM.medicao" hidden="1">OFFSET([3]BM!$O$7,1,0)</definedName>
    <definedName name="BM.MinMed" hidden="1">IF(RegimeExecucao="Global",-1,-[3]BM!$G1)</definedName>
    <definedName name="CAIXA.Modo" hidden="1">[3]BM!$A$3</definedName>
    <definedName name="CÁLCULO.NúmeroDeEventos" hidden="1">IF(AUTOEVENTO&lt;&gt;"manual",MAX([3]CÁLCULO!$M$15:$M$237),MAX(OFFSET([3]EVENTOS!$C$14:$C$70,1,0)))</definedName>
    <definedName name="CÁLCULO.NúmeroDeFrentes" hidden="1">COLUMN([3]CÁLCULO!$AA$15)-COLUMN([3]CÁLCULO!$Q$15)</definedName>
    <definedName name="CÁLCULO.TotalAdmLocal" hidden="1">IF(AUTOEVENTO="manual",SUMIF([3]CÁLCULO!$M$15:$M$237,1,[3]ORÇAMENTO!$X$15:$X$237),0)</definedName>
    <definedName name="Cron" localSheetId="13" hidden="1">{#N/A,#N/A,FALSE,"MO (2)"}</definedName>
    <definedName name="Cron" localSheetId="2" hidden="1">{#N/A,#N/A,FALSE,"MO (2)"}</definedName>
    <definedName name="Cron" localSheetId="3" hidden="1">{#N/A,#N/A,FALSE,"MO (2)"}</definedName>
    <definedName name="Cron" localSheetId="0" hidden="1">{#N/A,#N/A,FALSE,"MO (2)"}</definedName>
    <definedName name="Cron" hidden="1">{#N/A,#N/A,FALSE,"MO (2)"}</definedName>
    <definedName name="Cron_1" localSheetId="13" hidden="1">{#N/A,#N/A,FALSE,"MO (2)"}</definedName>
    <definedName name="Cron_1" localSheetId="2" hidden="1">{#N/A,#N/A,FALSE,"MO (2)"}</definedName>
    <definedName name="Cron_1" localSheetId="3" hidden="1">{#N/A,#N/A,FALSE,"MO (2)"}</definedName>
    <definedName name="Cron_1" localSheetId="0" hidden="1">{#N/A,#N/A,FALSE,"MO (2)"}</definedName>
    <definedName name="Cron_1" hidden="1">{#N/A,#N/A,FALSE,"MO (2)"}</definedName>
    <definedName name="CRONO.LinhasNecessarias" hidden="1">COUNTIF([3]QCI!$B$13:$B$24,"Manual")+COUNTIF([3]QCI!$B$13:$B$24,"SemiAuto")+COUNT(ORÇAMENTO.ListaCrono)</definedName>
    <definedName name="CRONO.MaxParc" hidden="1">[3]CRONO!$G1048576+[3]CRONO!A1</definedName>
    <definedName name="CRONO.NivelExibicao" hidden="1">[3]CRONO!$G$10</definedName>
    <definedName name="CRONOPLE.ValorDoEvento" hidden="1">SUMIF([3]CÁLCULO!$M$15:$M$237,[3]CRONOPLE!$B1,OFFSET([3]CÁLCULO!$AA$15:$AA$237,0,[3]CRONOPLE!A$12))</definedName>
    <definedName name="DAS" localSheetId="13" hidden="1">{#N/A,#N/A,FALSE,"MO (2)"}</definedName>
    <definedName name="DAS" localSheetId="2" hidden="1">{#N/A,#N/A,FALSE,"MO (2)"}</definedName>
    <definedName name="DAS" localSheetId="3" hidden="1">{#N/A,#N/A,FALSE,"MO (2)"}</definedName>
    <definedName name="DAS" localSheetId="0" hidden="1">{#N/A,#N/A,FALSE,"MO (2)"}</definedName>
    <definedName name="DAS" hidden="1">{#N/A,#N/A,FALSE,"MO (2)"}</definedName>
    <definedName name="DAS_1" localSheetId="13" hidden="1">{#N/A,#N/A,FALSE,"MO (2)"}</definedName>
    <definedName name="DAS_1" localSheetId="2" hidden="1">{#N/A,#N/A,FALSE,"MO (2)"}</definedName>
    <definedName name="DAS_1" localSheetId="3" hidden="1">{#N/A,#N/A,FALSE,"MO (2)"}</definedName>
    <definedName name="DAS_1" localSheetId="0" hidden="1">{#N/A,#N/A,FALSE,"MO (2)"}</definedName>
    <definedName name="DAS_1" hidden="1">{#N/A,#N/A,FALSE,"MO (2)"}</definedName>
    <definedName name="DDDDE" localSheetId="13" hidden="1">{#N/A,#N/A,FALSE,"MO (2)"}</definedName>
    <definedName name="DDDDE" localSheetId="2" hidden="1">{#N/A,#N/A,FALSE,"MO (2)"}</definedName>
    <definedName name="DDDDE" localSheetId="3" hidden="1">{#N/A,#N/A,FALSE,"MO (2)"}</definedName>
    <definedName name="DDDDE" localSheetId="0" hidden="1">{#N/A,#N/A,FALSE,"MO (2)"}</definedName>
    <definedName name="DDDDE" hidden="1">{#N/A,#N/A,FALSE,"MO (2)"}</definedName>
    <definedName name="DDDDE_1" localSheetId="13" hidden="1">{#N/A,#N/A,FALSE,"MO (2)"}</definedName>
    <definedName name="DDDDE_1" localSheetId="2" hidden="1">{#N/A,#N/A,FALSE,"MO (2)"}</definedName>
    <definedName name="DDDDE_1" localSheetId="3" hidden="1">{#N/A,#N/A,FALSE,"MO (2)"}</definedName>
    <definedName name="DDDDE_1" localSheetId="0" hidden="1">{#N/A,#N/A,FALSE,"MO (2)"}</definedName>
    <definedName name="DDDDE_1" hidden="1">{#N/A,#N/A,FALSE,"MO (2)"}</definedName>
    <definedName name="DESONERACAO" hidden="1">IF(OR(Import.Desoneracao="DESONERADO",Import.Desoneracao="SIM"),"SIM","NÃO")</definedName>
    <definedName name="edefegeh" localSheetId="13" hidden="1">{#N/A,#N/A,FALSE,"MO (2)"}</definedName>
    <definedName name="edefegeh" localSheetId="2" hidden="1">{#N/A,#N/A,FALSE,"MO (2)"}</definedName>
    <definedName name="edefegeh" localSheetId="3" hidden="1">{#N/A,#N/A,FALSE,"MO (2)"}</definedName>
    <definedName name="edefegeh" localSheetId="0" hidden="1">{#N/A,#N/A,FALSE,"MO (2)"}</definedName>
    <definedName name="edefegeh" hidden="1">{#N/A,#N/A,FALSE,"MO (2)"}</definedName>
    <definedName name="edefegeh_1" localSheetId="13" hidden="1">{#N/A,#N/A,FALSE,"MO (2)"}</definedName>
    <definedName name="edefegeh_1" localSheetId="2" hidden="1">{#N/A,#N/A,FALSE,"MO (2)"}</definedName>
    <definedName name="edefegeh_1" localSheetId="3" hidden="1">{#N/A,#N/A,FALSE,"MO (2)"}</definedName>
    <definedName name="edefegeh_1" localSheetId="0" hidden="1">{#N/A,#N/A,FALSE,"MO (2)"}</definedName>
    <definedName name="edefegeh_1" hidden="1">{#N/A,#N/A,FALSE,"MO (2)"}</definedName>
    <definedName name="eng." localSheetId="13" hidden="1">{#N/A,#N/A,FALSE,"MO (2)"}</definedName>
    <definedName name="eng." localSheetId="2" hidden="1">{#N/A,#N/A,FALSE,"MO (2)"}</definedName>
    <definedName name="eng." localSheetId="3" hidden="1">{#N/A,#N/A,FALSE,"MO (2)"}</definedName>
    <definedName name="eng." localSheetId="0" hidden="1">{#N/A,#N/A,FALSE,"MO (2)"}</definedName>
    <definedName name="eng." hidden="1">{#N/A,#N/A,FALSE,"MO (2)"}</definedName>
    <definedName name="eng._1" localSheetId="13" hidden="1">{#N/A,#N/A,FALSE,"MO (2)"}</definedName>
    <definedName name="eng._1" localSheetId="2" hidden="1">{#N/A,#N/A,FALSE,"MO (2)"}</definedName>
    <definedName name="eng._1" localSheetId="3" hidden="1">{#N/A,#N/A,FALSE,"MO (2)"}</definedName>
    <definedName name="eng._1" localSheetId="0" hidden="1">{#N/A,#N/A,FALSE,"MO (2)"}</definedName>
    <definedName name="eng._1" hidden="1">{#N/A,#N/A,FALSE,"MO (2)"}</definedName>
    <definedName name="ENGENHARIA" localSheetId="13" hidden="1">{#N/A,#N/A,FALSE,"MO (2)"}</definedName>
    <definedName name="ENGENHARIA" localSheetId="2" hidden="1">{#N/A,#N/A,FALSE,"MO (2)"}</definedName>
    <definedName name="ENGENHARIA" localSheetId="3" hidden="1">{#N/A,#N/A,FALSE,"MO (2)"}</definedName>
    <definedName name="ENGENHARIA" localSheetId="0" hidden="1">{#N/A,#N/A,FALSE,"MO (2)"}</definedName>
    <definedName name="ENGENHARIA" hidden="1">{#N/A,#N/A,FALSE,"MO (2)"}</definedName>
    <definedName name="ENGENHARIA_1" localSheetId="13" hidden="1">{#N/A,#N/A,FALSE,"MO (2)"}</definedName>
    <definedName name="ENGENHARIA_1" localSheetId="2" hidden="1">{#N/A,#N/A,FALSE,"MO (2)"}</definedName>
    <definedName name="ENGENHARIA_1" localSheetId="3" hidden="1">{#N/A,#N/A,FALSE,"MO (2)"}</definedName>
    <definedName name="ENGENHARIA_1" localSheetId="0" hidden="1">{#N/A,#N/A,FALSE,"MO (2)"}</definedName>
    <definedName name="ENGENHARIA_1" hidden="1">{#N/A,#N/A,FALSE,"MO (2)"}</definedName>
    <definedName name="EU" localSheetId="13" hidden="1">{#N/A,#N/A,FALSE,"MO (2)"}</definedName>
    <definedName name="EU" localSheetId="2" hidden="1">{#N/A,#N/A,FALSE,"MO (2)"}</definedName>
    <definedName name="EU" localSheetId="3" hidden="1">{#N/A,#N/A,FALSE,"MO (2)"}</definedName>
    <definedName name="EU" localSheetId="0" hidden="1">{#N/A,#N/A,FALSE,"MO (2)"}</definedName>
    <definedName name="EU" hidden="1">{#N/A,#N/A,FALSE,"MO (2)"}</definedName>
    <definedName name="EU_1" localSheetId="13" hidden="1">{#N/A,#N/A,FALSE,"MO (2)"}</definedName>
    <definedName name="EU_1" localSheetId="2" hidden="1">{#N/A,#N/A,FALSE,"MO (2)"}</definedName>
    <definedName name="EU_1" localSheetId="3" hidden="1">{#N/A,#N/A,FALSE,"MO (2)"}</definedName>
    <definedName name="EU_1" localSheetId="0" hidden="1">{#N/A,#N/A,FALSE,"MO (2)"}</definedName>
    <definedName name="EU_1" hidden="1">{#N/A,#N/A,FALSE,"MO (2)"}</definedName>
    <definedName name="EVENTOS.Lista" hidden="1">[3]EVENTOS!$C$15:OFFSET([3]EVENTOS!$C$70,-1,0)</definedName>
    <definedName name="EVENTOS.ListaValidacao" hidden="1">[3]EVENTOS!$B$15:OFFSET([3]EVENTOS!$B$70,-1,0)</definedName>
    <definedName name="Excel_BuiltIn_Database" hidden="1">TEXT(Import.DataBase,"mm-aaaa")</definedName>
    <definedName name="ffg" localSheetId="13" hidden="1">{#N/A,#N/A,FALSE,"MO (2)"}</definedName>
    <definedName name="ffg" localSheetId="2" hidden="1">{#N/A,#N/A,FALSE,"MO (2)"}</definedName>
    <definedName name="ffg" localSheetId="3" hidden="1">{#N/A,#N/A,FALSE,"MO (2)"}</definedName>
    <definedName name="ffg" localSheetId="0" hidden="1">{#N/A,#N/A,FALSE,"MO (2)"}</definedName>
    <definedName name="ffg" hidden="1">{#N/A,#N/A,FALSE,"MO (2)"}</definedName>
    <definedName name="ffg_1" localSheetId="13" hidden="1">{#N/A,#N/A,FALSE,"MO (2)"}</definedName>
    <definedName name="ffg_1" localSheetId="2" hidden="1">{#N/A,#N/A,FALSE,"MO (2)"}</definedName>
    <definedName name="ffg_1" localSheetId="3" hidden="1">{#N/A,#N/A,FALSE,"MO (2)"}</definedName>
    <definedName name="ffg_1" localSheetId="0" hidden="1">{#N/A,#N/A,FALSE,"MO (2)"}</definedName>
    <definedName name="ffg_1" hidden="1">{#N/A,#N/A,FALSE,"MO (2)"}</definedName>
    <definedName name="fghji" localSheetId="13" hidden="1">{#N/A,#N/A,FALSE,"MO (2)"}</definedName>
    <definedName name="fghji" localSheetId="2" hidden="1">{#N/A,#N/A,FALSE,"MO (2)"}</definedName>
    <definedName name="fghji" localSheetId="3" hidden="1">{#N/A,#N/A,FALSE,"MO (2)"}</definedName>
    <definedName name="fghji" localSheetId="0" hidden="1">{#N/A,#N/A,FALSE,"MO (2)"}</definedName>
    <definedName name="fghji" hidden="1">{#N/A,#N/A,FALSE,"MO (2)"}</definedName>
    <definedName name="fghji_1" localSheetId="13" hidden="1">{#N/A,#N/A,FALSE,"MO (2)"}</definedName>
    <definedName name="fghji_1" localSheetId="2" hidden="1">{#N/A,#N/A,FALSE,"MO (2)"}</definedName>
    <definedName name="fghji_1" localSheetId="3" hidden="1">{#N/A,#N/A,FALSE,"MO (2)"}</definedName>
    <definedName name="fghji_1" localSheetId="0" hidden="1">{#N/A,#N/A,FALSE,"MO (2)"}</definedName>
    <definedName name="fghji_1" hidden="1">{#N/A,#N/A,FALSE,"MO (2)"}</definedName>
    <definedName name="gfgh" localSheetId="13" hidden="1">{#N/A,#N/A,FALSE,"MO (2)"}</definedName>
    <definedName name="gfgh" localSheetId="2" hidden="1">{#N/A,#N/A,FALSE,"MO (2)"}</definedName>
    <definedName name="gfgh" localSheetId="3" hidden="1">{#N/A,#N/A,FALSE,"MO (2)"}</definedName>
    <definedName name="gfgh" localSheetId="0" hidden="1">{#N/A,#N/A,FALSE,"MO (2)"}</definedName>
    <definedName name="gfgh" hidden="1">{#N/A,#N/A,FALSE,"MO (2)"}</definedName>
    <definedName name="gfgh_1" localSheetId="13" hidden="1">{#N/A,#N/A,FALSE,"MO (2)"}</definedName>
    <definedName name="gfgh_1" localSheetId="2" hidden="1">{#N/A,#N/A,FALSE,"MO (2)"}</definedName>
    <definedName name="gfgh_1" localSheetId="3" hidden="1">{#N/A,#N/A,FALSE,"MO (2)"}</definedName>
    <definedName name="gfgh_1" localSheetId="0" hidden="1">{#N/A,#N/A,FALSE,"MO (2)"}</definedName>
    <definedName name="gfgh_1" hidden="1">{#N/A,#N/A,FALSE,"MO (2)"}</definedName>
    <definedName name="Import.Apelido" hidden="1">[3]DADOS!$F$16</definedName>
    <definedName name="Import.BDI.Det1" hidden="1">#REF!</definedName>
    <definedName name="Import.BDI.Det2" hidden="1">#REF!</definedName>
    <definedName name="Import.BDI.Det3" hidden="1">#REF!</definedName>
    <definedName name="Import.BDI.ISS" hidden="1">#REF!</definedName>
    <definedName name="Import.BDI.Obs1" hidden="1">#REF!</definedName>
    <definedName name="Import.BDI.Obs2" hidden="1">#REF!</definedName>
    <definedName name="Import.BDI.Obs3" hidden="1">#REF!</definedName>
    <definedName name="Import.BDI.Tipo1" hidden="1">#REF!</definedName>
    <definedName name="Import.BDI.Tipo2" hidden="1">#REF!</definedName>
    <definedName name="Import.BDI.Tipo3" hidden="1">#REF!</definedName>
    <definedName name="Import.BMAFAcumulado" hidden="1">OFFSET([3]BM!$R$15,1,0):OFFSET([3]BM!$R$237,-1,0)</definedName>
    <definedName name="Import.CNPJ" hidden="1">[3]DADOS!$F$39</definedName>
    <definedName name="Import.Código" hidden="1">OFFSET([3]ORÇAMENTO!$Q$15,1,0):OFFSET([3]ORÇAMENTO!$Q$237,-1,0)</definedName>
    <definedName name="Import.Contrapartida" hidden="1">[3]DADOS!$F$10</definedName>
    <definedName name="Import.CPMaxPerc" hidden="1">[3]DADOS!$F$13</definedName>
    <definedName name="Import.CPMinAbsoluta" hidden="1">[3]DADOS!$F$12</definedName>
    <definedName name="Import.CPMinPerc" hidden="1">[3]DADOS!$F$11</definedName>
    <definedName name="Import.CR" hidden="1">[3]DADOS!$F$7</definedName>
    <definedName name="Import.CRONOPLE" hidden="1">OFFSET([3]CRONOPLE!$F$15,1,1):OFFSET([3]CRONOPLE!$AF$70,-1,-1)</definedName>
    <definedName name="Import.CTEF" hidden="1">[3]DADOS!$F$37</definedName>
    <definedName name="Import.CustoUnitário" hidden="1">OFFSET([3]ORÇAMENTO!$U$15,1,0):OFFSET([3]ORÇAMENTO!$U$237,-1,0)</definedName>
    <definedName name="Import.DataBase" hidden="1">OFFSET([3]DADOS!$G$19,0,-1)</definedName>
    <definedName name="Import.DataBaseLicit" hidden="1">OFFSET([3]DADOS!$G$41,0,-1)</definedName>
    <definedName name="Import.DataInicioObra" hidden="1">[3]DADOS!$F$47</definedName>
    <definedName name="Import.DescLote" hidden="1">[3]DADOS!$F$17</definedName>
    <definedName name="Import.Descrição" hidden="1">OFFSET([3]ORÇAMENTO!$R$15,1,0):OFFSET([3]ORÇAMENTO!$R$237,-1,0)</definedName>
    <definedName name="Import.Desoneracao" hidden="1">OFFSET([3]DADOS!$G$18,0,-1)</definedName>
    <definedName name="Import.empresa" hidden="1">[3]DADOS!$F$38</definedName>
    <definedName name="Import.Eventos.Nomes" hidden="1">OFFSET([3]EVENTOS!$D$15,1,0):OFFSET([3]EVENTOS!$D$70,-1,0)</definedName>
    <definedName name="Import.Fonte" hidden="1">OFFSET([3]ORÇAMENTO!$P$15,1,0):OFFSET([3]ORÇAMENTO!$P$237,-1,0)</definedName>
    <definedName name="Import.FrenteDeObra" hidden="1">[3]CÁLCULO!$Q$12:OFFSET([3]CÁLCULO!$AA$12,0,-1)</definedName>
    <definedName name="Import.Município" hidden="1">[3]DADOS!$F$6</definedName>
    <definedName name="Import.Nível" hidden="1">OFFSET([3]ORÇAMENTO!$M$15,1,0):OFFSET([3]ORÇAMENTO!$M$237,-1,0)</definedName>
    <definedName name="Import.OpcaoBDI" hidden="1">OFFSET([3]ORÇAMENTO!$V$15,1,0):OFFSET([3]ORÇAMENTO!$V$237,-1,0)</definedName>
    <definedName name="Import.ORÇAMENTO.DivRecurso" hidden="1">OFFSET([3]ORÇAMENTO!$Y$15,1,0):OFFSET([3]ORÇAMENTO!$Y$237,-1,0)</definedName>
    <definedName name="Import.PLE" hidden="1">OFFSET([3]PLE!$G$15,1,1):OFFSET([3]PLE!$AG$70,-1,-1)</definedName>
    <definedName name="Import.PLQ" hidden="1">OFFSET([3]CÁLCULO!$P$15,1,1):OFFSET([3]CÁLCULO!$AA$237,-1,-1)</definedName>
    <definedName name="Import.PLQ.MemCalc" hidden="1">OFFSET([3]CÁLCULO!$I$15,1,0):OFFSET([3]CÁLCULO!$I$237,-1,0)</definedName>
    <definedName name="Import.Proponente" hidden="1">[3]DADOS!$F$5</definedName>
    <definedName name="Import.QCI.Divisao" hidden="1">OFFSET([3]QCI!$V$13,1,0):OFFSET([3]QCI!$V$24,-1,0)</definedName>
    <definedName name="Import.QCI.ItemInv" hidden="1">OFFSET([3]QCI!$E$13,1,0):OFFSET([3]QCI!$E$24,-1,0)</definedName>
    <definedName name="Import.QCI.Qtde" hidden="1">OFFSET([3]QCI!$I$13,1,0):OFFSET([3]QCI!$I$24,-1,0)</definedName>
    <definedName name="Import.QCI.Situacao" hidden="1">OFFSET([3]QCI!$H$13,1,0):OFFSET([3]QCI!$H$24,-1,0)</definedName>
    <definedName name="Import.QCI.SubItemInv" hidden="1">OFFSET([3]QCI!$F$13,1,0):OFFSET([3]QCI!$F$24,-1,0)</definedName>
    <definedName name="Import.QCICP" hidden="1">OFFSET([3]QCI!$W$13,1,0):OFFSET([3]QCI!$W$24,-1,0)</definedName>
    <definedName name="Import.QCIDesc" hidden="1">OFFSET([3]QCI!$R$13,1,0):OFFSET([3]QCI!$R$24,-1,0)</definedName>
    <definedName name="Import.QCIInv" hidden="1">OFFSET([3]QCI!$U$13,1,0):OFFSET([3]QCI!$U$24,-1,0)</definedName>
    <definedName name="Import.QCILote" hidden="1">OFFSET([3]QCI!$T$13,1,0):OFFSET([3]QCI!$T$24,-1,0)</definedName>
    <definedName name="Import.QCIOutros" hidden="1">OFFSET([3]QCI!$X$13,1,0):OFFSET([3]QCI!$X$24,-1,0)</definedName>
    <definedName name="Import.Quantidade" hidden="1">OFFSET([3]ORÇAMENTO!$AJ$15,1,0):OFFSET([3]ORÇAMENTO!$AJ$237,-1,0)</definedName>
    <definedName name="import.recurso" hidden="1">[3]DADOS!$F$4</definedName>
    <definedName name="Import.RegimeExecução" hidden="1">OFFSET([3]DADOS!$G$40,0,-1)</definedName>
    <definedName name="Import.Repasse" hidden="1">[3]DADOS!$F$9</definedName>
    <definedName name="Import.RespFiscalização" hidden="1">[3]DADOS!$F$51:$F$54</definedName>
    <definedName name="Import.RespOrçamento" hidden="1">[3]DADOS!$F$22:$F$24</definedName>
    <definedName name="Import.TipoArredondamento" hidden="1">[3]DADOS!$F$31</definedName>
    <definedName name="Import.TransfereGOV" hidden="1">[3]DADOS!$F$8</definedName>
    <definedName name="Import.Unidade" hidden="1">OFFSET([3]ORÇAMENTO!$S$15,1,0):OFFSET([3]ORÇAMENTO!$S$237,-1,0)</definedName>
    <definedName name="Import.UnitarioLicitado" hidden="1">OFFSET([3]ORÇAMENTO!$AL$15,1,0):OFFSET([3]ORÇAMENTO!$AL$237,-1,0)</definedName>
    <definedName name="jkhjkjkg" localSheetId="13" hidden="1">{#N/A,#N/A,FALSE,"MO (2)"}</definedName>
    <definedName name="jkhjkjkg" localSheetId="2" hidden="1">{#N/A,#N/A,FALSE,"MO (2)"}</definedName>
    <definedName name="jkhjkjkg" localSheetId="3" hidden="1">{#N/A,#N/A,FALSE,"MO (2)"}</definedName>
    <definedName name="jkhjkjkg" localSheetId="0" hidden="1">{#N/A,#N/A,FALSE,"MO (2)"}</definedName>
    <definedName name="jkhjkjkg" hidden="1">{#N/A,#N/A,FALSE,"MO (2)"}</definedName>
    <definedName name="jkhjkjkg_1" localSheetId="13" hidden="1">{#N/A,#N/A,FALSE,"MO (2)"}</definedName>
    <definedName name="jkhjkjkg_1" localSheetId="2" hidden="1">{#N/A,#N/A,FALSE,"MO (2)"}</definedName>
    <definedName name="jkhjkjkg_1" localSheetId="3" hidden="1">{#N/A,#N/A,FALSE,"MO (2)"}</definedName>
    <definedName name="jkhjkjkg_1" localSheetId="0" hidden="1">{#N/A,#N/A,FALSE,"MO (2)"}</definedName>
    <definedName name="jkhjkjkg_1" hidden="1">{#N/A,#N/A,FALSE,"MO (2)"}</definedName>
    <definedName name="med" localSheetId="13" hidden="1">{#N/A,#N/A,FALSE,"MO (2)"}</definedName>
    <definedName name="med" localSheetId="2" hidden="1">{#N/A,#N/A,FALSE,"MO (2)"}</definedName>
    <definedName name="med" localSheetId="3" hidden="1">{#N/A,#N/A,FALSE,"MO (2)"}</definedName>
    <definedName name="med" localSheetId="0" hidden="1">{#N/A,#N/A,FALSE,"MO (2)"}</definedName>
    <definedName name="med" hidden="1">{#N/A,#N/A,FALSE,"MO (2)"}</definedName>
    <definedName name="med_1" localSheetId="13" hidden="1">{#N/A,#N/A,FALSE,"MO (2)"}</definedName>
    <definedName name="med_1" localSheetId="2" hidden="1">{#N/A,#N/A,FALSE,"MO (2)"}</definedName>
    <definedName name="med_1" localSheetId="3" hidden="1">{#N/A,#N/A,FALSE,"MO (2)"}</definedName>
    <definedName name="med_1" localSheetId="0" hidden="1">{#N/A,#N/A,FALSE,"MO (2)"}</definedName>
    <definedName name="med_1" hidden="1">{#N/A,#N/A,FALSE,"MO (2)"}</definedName>
    <definedName name="MENU.CRONO" hidden="1">OFFSET([3]CRONO!$T$11,1,0)</definedName>
    <definedName name="Objeto" hidden="1">[3]MENU!$J$1</definedName>
    <definedName name="ORÇAMENTO.BancoRef" hidden="1">[3]ORÇAMENTO!$F$8</definedName>
    <definedName name="ORÇAMENTO.CodBarra" hidden="1">IF(ORÇAMENTO.Fonte="Sinapi",SUBSTITUTE(SUBSTITUTE(ORÇAMENTO.Codigo,"/00","/"),"/0","/"),ORÇAMENTO.Codigo)</definedName>
    <definedName name="ORÇAMENTO.Codigo" hidden="1">[3]ORÇAMENTO!$Q1</definedName>
    <definedName name="ORÇAMENTO.CustoUnitario" hidden="1">ROUND([3]ORÇAMENTO!$U1,15-13*[3]ORÇAMENTO!$AF$8)</definedName>
    <definedName name="ORÇAMENTO.Descricao" hidden="1">[3]ORÇAMENTO!$R1</definedName>
    <definedName name="ORÇAMENTO.Fonte" hidden="1">[3]ORÇAMENTO!$P1</definedName>
    <definedName name="ORÇAMENTO.ListaCrono" hidden="1">OFFSET([3]ORÇAMENTO!$AD$15,1,0):OFFSET([3]ORÇAMENTO!$AD$237,-1,0)</definedName>
    <definedName name="ORÇAMENTO.MáximoListaCrono" hidden="1">MAX(ORÇAMENTO.ListaCrono)</definedName>
    <definedName name="ORÇAMENTO.Nivel" hidden="1">[3]ORÇAMENTO!$M1</definedName>
    <definedName name="ORÇAMENTO.OpcaoBDI" hidden="1">[3]ORÇAMENTO!$V1</definedName>
    <definedName name="ORÇAMENTO.PasteFormat1" hidden="1">OFFSET([3]ORÇAMENTO!$P$15,1,0):OFFSET([3]ORÇAMENTO!$S$237,-1,0)</definedName>
    <definedName name="ORÇAMENTO.PasteFormat2" hidden="1">OFFSET([3]ORÇAMENTO!$U$15,1,0):OFFSET([3]ORÇAMENTO!$V$237,-1,0)</definedName>
    <definedName name="ORÇAMENTO.PrecoUnitarioLicitado" hidden="1">[3]ORÇAMENTO!$AL1</definedName>
    <definedName name="ORÇAMENTO.RangeQuant" hidden="1">OFFSET([3]ORÇAMENTO!$T$15,1,0):OFFSET([3]ORÇAMENTO!$T$237,-1,0)</definedName>
    <definedName name="ORÇAMENTO.SumCPMANUAL" hidden="1">SUMIF([3]ORÇAMENTO!$Z$15:$Z$237,"CP",[3]ORÇAMENTO!$AA$15:$AA$237)</definedName>
    <definedName name="ORÇAMENTO.SumINVMANUAL" hidden="1">SUMIF([3]ORÇAMENTO!$Z$15:$Z$237,"RP",[3]ORÇAMENTO!$X$15:$X$237)+SUMIF([3]ORÇAMENTO!$Z$15:$Z$237,"CP",[3]ORÇAMENTO!$X$15:$X$237)+SUMIF([3]ORÇAMENTO!$Z$15:$Z$237,"OU",[3]ORÇAMENTO!$X$15:$X$237)</definedName>
    <definedName name="ORÇAMENTO.SumOUTROSMANUAL" hidden="1">SUMIF([3]ORÇAMENTO!$Z$15:$Z$237,"OU",[3]ORÇAMENTO!$AB$15:$AB$237)</definedName>
    <definedName name="ORÇAMENTO.SumREPASSEMANUAL" hidden="1">ORÇAMENTO.SumINVMANUAL-ORÇAMENTO.SumCPMANUAL-ORÇAMENTO.SumOUTROSMANUAL</definedName>
    <definedName name="ORÇAMENTO.Unidade" hidden="1">[3]ORÇAMENTO!$S1</definedName>
    <definedName name="PLE.firstrow" hidden="1">[3]PLE!$15:$15</definedName>
    <definedName name="PLE.lastrow" hidden="1">[3]PLE!$70:$70</definedName>
    <definedName name="PLE.Medicao" hidden="1">[3]PLE!$J$9</definedName>
    <definedName name="PLE.ValorDoEvento" hidden="1">SUMIF([3]CÁLCULO!$M$15:$M$237,[3]PLE!$B1,OFFSET([3]CÁLCULO!$AA$15:$AA$237,0,[3]PLE!A$12))</definedName>
    <definedName name="PO.ValoresBDI" hidden="1">OFFSET([3]ORÇAMENTO!$AH$15,1,0):OFFSET([3]ORÇAMENTO!$AH$237,-1,0)</definedName>
    <definedName name="QCI.CPManual" hidden="1">ROUND([3]QCI!$W1,2)</definedName>
    <definedName name="QCI.DescManual" hidden="1">[3]QCI!$R1</definedName>
    <definedName name="QCI.Divisao" hidden="1">[3]QCI!$V1</definedName>
    <definedName name="QCI.ExisteManual" hidden="1">(COUNTIF([3]QCI!$B$13:$B$24,"Manual")+COUNTIF([3]QCI!$B$13:$B$24,"SemiAuto"))&gt;0</definedName>
    <definedName name="QCI.InvManual" hidden="1">ROUND([3]QCI!$U1,2)</definedName>
    <definedName name="QCI.ItemInvestimento" hidden="1">OFFSET([3]DADOS!$J$2,1,0,COUNTA([3]DADOS!$J:$J)-1,1)</definedName>
    <definedName name="QCI.LoteManual" hidden="1">[3]QCI!$T1</definedName>
    <definedName name="QCI.MaxCPManual" hidden="1">[3]QCI!$O1-[3]QCI!$X1</definedName>
    <definedName name="QCI.MaxOUManual" hidden="1">[3]QCI!$O1-[3]QCI!$W1</definedName>
    <definedName name="QCI.OutrosManual" hidden="1">ROUND([3]QCI!$X1,2)</definedName>
    <definedName name="QCI.SubItemInvestimento" hidden="1">OFFSET([3]DADOS!$A$2,1,MATCH([3]QCI!$E1,[3]DADOS!$2:$2,0)-1,INDEX([3]DADOS!$2:$2,MATCH([3]QCI!$E1,[3]DADOS!$2:$2,0)+1))</definedName>
    <definedName name="QCI.SumCPMANUAL" hidden="1">SUMIF([3]QCI!$B$13:$B$24,"Manual",[3]QCI!$AA$13:$AA$24)</definedName>
    <definedName name="QCI.SumINVMANUAL" hidden="1">SUMIF([3]QCI!$B$13:$B$24,"Manual",[3]QCI!$O$13:$O$24)</definedName>
    <definedName name="QCI.SumOUTROSMANUAL" hidden="1">SUMIF([3]QCI!$B$13:$B$24,"Manual",[3]QCI!$AB$13:$AB$24)</definedName>
    <definedName name="QCI.SumREPASSEMANUAL" hidden="1">QCI.SumINVMANUAL-QCI.CPManual-QCI.OutrosManual</definedName>
    <definedName name="REFERENCIA.Descricao" hidden="1">IF(ISNUMBER([3]ORÇAMENTO!$AF1),OFFSET(INDIRECT(ORÇAMENTO.BancoRef),[3]ORÇAMENTO!$AF1-1,3,1),[3]ORÇAMENTO!$AF1)</definedName>
    <definedName name="REFERENCIA.Desonerado" hidden="1">IF(ISNUMBER([3]ORÇAMENTO!$AF1),VALUE(OFFSET(INDIRECT(ORÇAMENTO.BancoRef),[3]ORÇAMENTO!$AF1-1,5,1)),0)</definedName>
    <definedName name="REFERENCIA.NaoDesonerado" hidden="1">IF(ISNUMBER([3]ORÇAMENTO!$AF1),VALUE(OFFSET(INDIRECT(ORÇAMENTO.BancoRef),[3]ORÇAMENTO!$AF1-1,6,1)),0)</definedName>
    <definedName name="REFERENCIA.Unidade" hidden="1">IF(ISNUMBER([3]ORÇAMENTO!$AF1),OFFSET(INDIRECT(ORÇAMENTO.BancoRef),[3]ORÇAMENTO!$AF1-1,4,1),"-")</definedName>
    <definedName name="RegimeExecucao" hidden="1">IF(OR(Import.RegimeExecução="",Import.RegimeExecução="Empreitada por Preço Global",Import.RegimeExecução="Empreitada Integral"),"Global","Unitário")</definedName>
    <definedName name="resumo3" localSheetId="13" hidden="1">{#N/A,#N/A,FALSE,"MO (2)"}</definedName>
    <definedName name="resumo3" localSheetId="2" hidden="1">{#N/A,#N/A,FALSE,"MO (2)"}</definedName>
    <definedName name="resumo3" localSheetId="3" hidden="1">{#N/A,#N/A,FALSE,"MO (2)"}</definedName>
    <definedName name="resumo3" localSheetId="0" hidden="1">{#N/A,#N/A,FALSE,"MO (2)"}</definedName>
    <definedName name="resumo3" hidden="1">{#N/A,#N/A,FALSE,"MO (2)"}</definedName>
    <definedName name="resumo3_1" localSheetId="13" hidden="1">{#N/A,#N/A,FALSE,"MO (2)"}</definedName>
    <definedName name="resumo3_1" localSheetId="2" hidden="1">{#N/A,#N/A,FALSE,"MO (2)"}</definedName>
    <definedName name="resumo3_1" localSheetId="3" hidden="1">{#N/A,#N/A,FALSE,"MO (2)"}</definedName>
    <definedName name="resumo3_1" localSheetId="0" hidden="1">{#N/A,#N/A,FALSE,"MO (2)"}</definedName>
    <definedName name="resumo3_1" hidden="1">{#N/A,#N/A,FALSE,"MO (2)"}</definedName>
    <definedName name="RRE.MaxCPAcum" hidden="1">[3]RRE!$AD$26</definedName>
    <definedName name="RRE.MaxCPAnt" hidden="1">[3]RRE!$AC$26</definedName>
    <definedName name="RRE.MaxOUAcum" hidden="1">[3]RRE!$AD$27</definedName>
    <definedName name="RRE.MaxOUAnt" hidden="1">[3]RRE!$AC$27</definedName>
    <definedName name="RRE.Numero" hidden="1">OFFSET([3]RRE!$O$7,0,1)</definedName>
    <definedName name="RRE.VIMeta" hidden="1">[3]RRE!$L1</definedName>
    <definedName name="SADERA" localSheetId="13" hidden="1">{#N/A,#N/A,FALSE,"MO (2)"}</definedName>
    <definedName name="SADERA" localSheetId="2" hidden="1">{#N/A,#N/A,FALSE,"MO (2)"}</definedName>
    <definedName name="SADERA" localSheetId="3" hidden="1">{#N/A,#N/A,FALSE,"MO (2)"}</definedName>
    <definedName name="SADERA" localSheetId="0" hidden="1">{#N/A,#N/A,FALSE,"MO (2)"}</definedName>
    <definedName name="SADERA" hidden="1">{#N/A,#N/A,FALSE,"MO (2)"}</definedName>
    <definedName name="SADERA_1" localSheetId="13" hidden="1">{#N/A,#N/A,FALSE,"MO (2)"}</definedName>
    <definedName name="SADERA_1" localSheetId="2" hidden="1">{#N/A,#N/A,FALSE,"MO (2)"}</definedName>
    <definedName name="SADERA_1" localSheetId="3" hidden="1">{#N/A,#N/A,FALSE,"MO (2)"}</definedName>
    <definedName name="SADERA_1" localSheetId="0" hidden="1">{#N/A,#N/A,FALSE,"MO (2)"}</definedName>
    <definedName name="SADERA_1" hidden="1">{#N/A,#N/A,FALSE,"MO (2)"}</definedName>
    <definedName name="saderadesa" localSheetId="13" hidden="1">{#N/A,#N/A,FALSE,"MO (2)"}</definedName>
    <definedName name="saderadesa" localSheetId="2" hidden="1">{#N/A,#N/A,FALSE,"MO (2)"}</definedName>
    <definedName name="saderadesa" localSheetId="3" hidden="1">{#N/A,#N/A,FALSE,"MO (2)"}</definedName>
    <definedName name="saderadesa" localSheetId="0" hidden="1">{#N/A,#N/A,FALSE,"MO (2)"}</definedName>
    <definedName name="saderadesa" hidden="1">{#N/A,#N/A,FALSE,"MO (2)"}</definedName>
    <definedName name="saderadesa_1" localSheetId="13" hidden="1">{#N/A,#N/A,FALSE,"MO (2)"}</definedName>
    <definedName name="saderadesa_1" localSheetId="2" hidden="1">{#N/A,#N/A,FALSE,"MO (2)"}</definedName>
    <definedName name="saderadesa_1" localSheetId="3" hidden="1">{#N/A,#N/A,FALSE,"MO (2)"}</definedName>
    <definedName name="saderadesa_1" localSheetId="0" hidden="1">{#N/A,#N/A,FALSE,"MO (2)"}</definedName>
    <definedName name="saderadesa_1" hidden="1">{#N/A,#N/A,FALSE,"MO (2)"}</definedName>
    <definedName name="saderasa" localSheetId="13" hidden="1">{#N/A,#N/A,FALSE,"MO (2)"}</definedName>
    <definedName name="saderasa" localSheetId="2" hidden="1">{#N/A,#N/A,FALSE,"MO (2)"}</definedName>
    <definedName name="saderasa" localSheetId="3" hidden="1">{#N/A,#N/A,FALSE,"MO (2)"}</definedName>
    <definedName name="saderasa" localSheetId="0" hidden="1">{#N/A,#N/A,FALSE,"MO (2)"}</definedName>
    <definedName name="saderasa" hidden="1">{#N/A,#N/A,FALSE,"MO (2)"}</definedName>
    <definedName name="saderasa_1" localSheetId="13" hidden="1">{#N/A,#N/A,FALSE,"MO (2)"}</definedName>
    <definedName name="saderasa_1" localSheetId="2" hidden="1">{#N/A,#N/A,FALSE,"MO (2)"}</definedName>
    <definedName name="saderasa_1" localSheetId="3" hidden="1">{#N/A,#N/A,FALSE,"MO (2)"}</definedName>
    <definedName name="saderasa_1" localSheetId="0" hidden="1">{#N/A,#N/A,FALSE,"MO (2)"}</definedName>
    <definedName name="saderasa_1" hidden="1">{#N/A,#N/A,FALSE,"MO (2)"}</definedName>
    <definedName name="saderefe" localSheetId="13" hidden="1">{#N/A,#N/A,FALSE,"MO (2)"}</definedName>
    <definedName name="saderefe" localSheetId="2" hidden="1">{#N/A,#N/A,FALSE,"MO (2)"}</definedName>
    <definedName name="saderefe" localSheetId="3" hidden="1">{#N/A,#N/A,FALSE,"MO (2)"}</definedName>
    <definedName name="saderefe" localSheetId="0" hidden="1">{#N/A,#N/A,FALSE,"MO (2)"}</definedName>
    <definedName name="saderefe" hidden="1">{#N/A,#N/A,FALSE,"MO (2)"}</definedName>
    <definedName name="saderefe_1" localSheetId="13" hidden="1">{#N/A,#N/A,FALSE,"MO (2)"}</definedName>
    <definedName name="saderefe_1" localSheetId="2" hidden="1">{#N/A,#N/A,FALSE,"MO (2)"}</definedName>
    <definedName name="saderefe_1" localSheetId="3" hidden="1">{#N/A,#N/A,FALSE,"MO (2)"}</definedName>
    <definedName name="saderefe_1" localSheetId="0" hidden="1">{#N/A,#N/A,FALSE,"MO (2)"}</definedName>
    <definedName name="saderefe_1" hidden="1">{#N/A,#N/A,FALSE,"MO (2)"}</definedName>
    <definedName name="salete" localSheetId="13" hidden="1">{#N/A,#N/A,FALSE,"MO (2)"}</definedName>
    <definedName name="salete" localSheetId="2" hidden="1">{#N/A,#N/A,FALSE,"MO (2)"}</definedName>
    <definedName name="salete" localSheetId="3" hidden="1">{#N/A,#N/A,FALSE,"MO (2)"}</definedName>
    <definedName name="salete" localSheetId="0" hidden="1">{#N/A,#N/A,FALSE,"MO (2)"}</definedName>
    <definedName name="salete" hidden="1">{#N/A,#N/A,FALSE,"MO (2)"}</definedName>
    <definedName name="salete.com" localSheetId="13" hidden="1">{#N/A,#N/A,FALSE,"MO (2)"}</definedName>
    <definedName name="salete.com" localSheetId="2" hidden="1">{#N/A,#N/A,FALSE,"MO (2)"}</definedName>
    <definedName name="salete.com" localSheetId="3" hidden="1">{#N/A,#N/A,FALSE,"MO (2)"}</definedName>
    <definedName name="salete.com" localSheetId="0" hidden="1">{#N/A,#N/A,FALSE,"MO (2)"}</definedName>
    <definedName name="salete.com" hidden="1">{#N/A,#N/A,FALSE,"MO (2)"}</definedName>
    <definedName name="salete.com_1" localSheetId="13" hidden="1">{#N/A,#N/A,FALSE,"MO (2)"}</definedName>
    <definedName name="salete.com_1" localSheetId="2" hidden="1">{#N/A,#N/A,FALSE,"MO (2)"}</definedName>
    <definedName name="salete.com_1" localSheetId="3" hidden="1">{#N/A,#N/A,FALSE,"MO (2)"}</definedName>
    <definedName name="salete.com_1" localSheetId="0" hidden="1">{#N/A,#N/A,FALSE,"MO (2)"}</definedName>
    <definedName name="salete.com_1" hidden="1">{#N/A,#N/A,FALSE,"MO (2)"}</definedName>
    <definedName name="salete_1" localSheetId="13" hidden="1">{#N/A,#N/A,FALSE,"MO (2)"}</definedName>
    <definedName name="salete_1" localSheetId="2" hidden="1">{#N/A,#N/A,FALSE,"MO (2)"}</definedName>
    <definedName name="salete_1" localSheetId="3" hidden="1">{#N/A,#N/A,FALSE,"MO (2)"}</definedName>
    <definedName name="salete_1" localSheetId="0" hidden="1">{#N/A,#N/A,FALSE,"MO (2)"}</definedName>
    <definedName name="salete_1" hidden="1">{#N/A,#N/A,FALSE,"MO (2)"}</definedName>
    <definedName name="salete333" localSheetId="13" hidden="1">{#N/A,#N/A,FALSE,"MO (2)"}</definedName>
    <definedName name="salete333" localSheetId="2" hidden="1">{#N/A,#N/A,FALSE,"MO (2)"}</definedName>
    <definedName name="salete333" localSheetId="3" hidden="1">{#N/A,#N/A,FALSE,"MO (2)"}</definedName>
    <definedName name="salete333" localSheetId="0" hidden="1">{#N/A,#N/A,FALSE,"MO (2)"}</definedName>
    <definedName name="salete333" hidden="1">{#N/A,#N/A,FALSE,"MO (2)"}</definedName>
    <definedName name="salete333_1" localSheetId="13" hidden="1">{#N/A,#N/A,FALSE,"MO (2)"}</definedName>
    <definedName name="salete333_1" localSheetId="2" hidden="1">{#N/A,#N/A,FALSE,"MO (2)"}</definedName>
    <definedName name="salete333_1" localSheetId="3" hidden="1">{#N/A,#N/A,FALSE,"MO (2)"}</definedName>
    <definedName name="salete333_1" localSheetId="0" hidden="1">{#N/A,#N/A,FALSE,"MO (2)"}</definedName>
    <definedName name="salete333_1" hidden="1">{#N/A,#N/A,FALSE,"MO (2)"}</definedName>
    <definedName name="SASA" localSheetId="13" hidden="1">{#N/A,#N/A,FALSE,"MO (2)"}</definedName>
    <definedName name="SASA" localSheetId="2" hidden="1">{#N/A,#N/A,FALSE,"MO (2)"}</definedName>
    <definedName name="SASA" localSheetId="3" hidden="1">{#N/A,#N/A,FALSE,"MO (2)"}</definedName>
    <definedName name="SASA" localSheetId="0" hidden="1">{#N/A,#N/A,FALSE,"MO (2)"}</definedName>
    <definedName name="SASA" hidden="1">{#N/A,#N/A,FALSE,"MO (2)"}</definedName>
    <definedName name="sasa.com" localSheetId="13" hidden="1">{#N/A,#N/A,FALSE,"MO (2)"}</definedName>
    <definedName name="sasa.com" localSheetId="2" hidden="1">{#N/A,#N/A,FALSE,"MO (2)"}</definedName>
    <definedName name="sasa.com" localSheetId="3" hidden="1">{#N/A,#N/A,FALSE,"MO (2)"}</definedName>
    <definedName name="sasa.com" localSheetId="0" hidden="1">{#N/A,#N/A,FALSE,"MO (2)"}</definedName>
    <definedName name="sasa.com" hidden="1">{#N/A,#N/A,FALSE,"MO (2)"}</definedName>
    <definedName name="sasa.com_1" localSheetId="13" hidden="1">{#N/A,#N/A,FALSE,"MO (2)"}</definedName>
    <definedName name="sasa.com_1" localSheetId="2" hidden="1">{#N/A,#N/A,FALSE,"MO (2)"}</definedName>
    <definedName name="sasa.com_1" localSheetId="3" hidden="1">{#N/A,#N/A,FALSE,"MO (2)"}</definedName>
    <definedName name="sasa.com_1" localSheetId="0" hidden="1">{#N/A,#N/A,FALSE,"MO (2)"}</definedName>
    <definedName name="sasa.com_1" hidden="1">{#N/A,#N/A,FALSE,"MO (2)"}</definedName>
    <definedName name="SASA_1" localSheetId="13" hidden="1">{#N/A,#N/A,FALSE,"MO (2)"}</definedName>
    <definedName name="SASA_1" localSheetId="2" hidden="1">{#N/A,#N/A,FALSE,"MO (2)"}</definedName>
    <definedName name="SASA_1" localSheetId="3" hidden="1">{#N/A,#N/A,FALSE,"MO (2)"}</definedName>
    <definedName name="SASA_1" localSheetId="0" hidden="1">{#N/A,#N/A,FALSE,"MO (2)"}</definedName>
    <definedName name="SASA_1" hidden="1">{#N/A,#N/A,FALSE,"MO (2)"}</definedName>
    <definedName name="sasaasa" localSheetId="13" hidden="1">{#N/A,#N/A,FALSE,"MO (2)"}</definedName>
    <definedName name="sasaasa" localSheetId="2" hidden="1">{#N/A,#N/A,FALSE,"MO (2)"}</definedName>
    <definedName name="sasaasa" localSheetId="3" hidden="1">{#N/A,#N/A,FALSE,"MO (2)"}</definedName>
    <definedName name="sasaasa" localSheetId="0" hidden="1">{#N/A,#N/A,FALSE,"MO (2)"}</definedName>
    <definedName name="sasaasa" hidden="1">{#N/A,#N/A,FALSE,"MO (2)"}</definedName>
    <definedName name="sasaasa_1" localSheetId="13" hidden="1">{#N/A,#N/A,FALSE,"MO (2)"}</definedName>
    <definedName name="sasaasa_1" localSheetId="2" hidden="1">{#N/A,#N/A,FALSE,"MO (2)"}</definedName>
    <definedName name="sasaasa_1" localSheetId="3" hidden="1">{#N/A,#N/A,FALSE,"MO (2)"}</definedName>
    <definedName name="sasaasa_1" localSheetId="0" hidden="1">{#N/A,#N/A,FALSE,"MO (2)"}</definedName>
    <definedName name="sasaasa_1" hidden="1">{#N/A,#N/A,FALSE,"MO (2)"}</definedName>
    <definedName name="sasadasas" localSheetId="13" hidden="1">{#N/A,#N/A,FALSE,"MO (2)"}</definedName>
    <definedName name="sasadasas" localSheetId="2" hidden="1">{#N/A,#N/A,FALSE,"MO (2)"}</definedName>
    <definedName name="sasadasas" localSheetId="3" hidden="1">{#N/A,#N/A,FALSE,"MO (2)"}</definedName>
    <definedName name="sasadasas" localSheetId="0" hidden="1">{#N/A,#N/A,FALSE,"MO (2)"}</definedName>
    <definedName name="sasadasas" hidden="1">{#N/A,#N/A,FALSE,"MO (2)"}</definedName>
    <definedName name="sasadasas_1" localSheetId="13" hidden="1">{#N/A,#N/A,FALSE,"MO (2)"}</definedName>
    <definedName name="sasadasas_1" localSheetId="2" hidden="1">{#N/A,#N/A,FALSE,"MO (2)"}</definedName>
    <definedName name="sasadasas_1" localSheetId="3" hidden="1">{#N/A,#N/A,FALSE,"MO (2)"}</definedName>
    <definedName name="sasadasas_1" localSheetId="0" hidden="1">{#N/A,#N/A,FALSE,"MO (2)"}</definedName>
    <definedName name="sasadasas_1" hidden="1">{#N/A,#N/A,FALSE,"MO (2)"}</definedName>
    <definedName name="sasadefadesa" localSheetId="13" hidden="1">{#N/A,#N/A,FALSE,"MO (2)"}</definedName>
    <definedName name="sasadefadesa" localSheetId="2" hidden="1">{#N/A,#N/A,FALSE,"MO (2)"}</definedName>
    <definedName name="sasadefadesa" localSheetId="3" hidden="1">{#N/A,#N/A,FALSE,"MO (2)"}</definedName>
    <definedName name="sasadefadesa" localSheetId="0" hidden="1">{#N/A,#N/A,FALSE,"MO (2)"}</definedName>
    <definedName name="sasadefadesa" hidden="1">{#N/A,#N/A,FALSE,"MO (2)"}</definedName>
    <definedName name="sasadefadesa_1" localSheetId="13" hidden="1">{#N/A,#N/A,FALSE,"MO (2)"}</definedName>
    <definedName name="sasadefadesa_1" localSheetId="2" hidden="1">{#N/A,#N/A,FALSE,"MO (2)"}</definedName>
    <definedName name="sasadefadesa_1" localSheetId="3" hidden="1">{#N/A,#N/A,FALSE,"MO (2)"}</definedName>
    <definedName name="sasadefadesa_1" localSheetId="0" hidden="1">{#N/A,#N/A,FALSE,"MO (2)"}</definedName>
    <definedName name="sasadefadesa_1" hidden="1">{#N/A,#N/A,FALSE,"MO (2)"}</definedName>
    <definedName name="SENHAGT" hidden="1">"PM3CAIXA"</definedName>
    <definedName name="SomaAgrup" hidden="1">SUMIF(OFFSET([3]ORÇAMENTO!$C1,1,0,[3]ORÇAMENTO!$D1),"S",OFFSET([3]ORÇAMENTO!A1,1,0,[3]ORÇAMENTO!$D1))</definedName>
    <definedName name="SomaAgrupBM" hidden="1">SUMIF(OFFSET([3]BM!$A1,1,0,[3]BM!$B1),"S",OFFSET([3]BM!A1,1,0,[3]BM!$B1))</definedName>
    <definedName name="SS" localSheetId="13" hidden="1">{#N/A,#N/A,FALSE,"MO (2)"}</definedName>
    <definedName name="SS" localSheetId="2" hidden="1">{#N/A,#N/A,FALSE,"MO (2)"}</definedName>
    <definedName name="SS" localSheetId="3" hidden="1">{#N/A,#N/A,FALSE,"MO (2)"}</definedName>
    <definedName name="SS" localSheetId="0" hidden="1">{#N/A,#N/A,FALSE,"MO (2)"}</definedName>
    <definedName name="SS" hidden="1">{#N/A,#N/A,FALSE,"MO (2)"}</definedName>
    <definedName name="SS_1" localSheetId="13" hidden="1">{#N/A,#N/A,FALSE,"MO (2)"}</definedName>
    <definedName name="SS_1" localSheetId="2" hidden="1">{#N/A,#N/A,FALSE,"MO (2)"}</definedName>
    <definedName name="SS_1" localSheetId="3" hidden="1">{#N/A,#N/A,FALSE,"MO (2)"}</definedName>
    <definedName name="SS_1" localSheetId="0" hidden="1">{#N/A,#N/A,FALSE,"MO (2)"}</definedName>
    <definedName name="SS_1" hidden="1">{#N/A,#N/A,FALSE,"MO (2)"}</definedName>
    <definedName name="SSS" localSheetId="13" hidden="1">{#N/A,#N/A,FALSE,"MO (2)"}</definedName>
    <definedName name="SSS" localSheetId="2" hidden="1">{#N/A,#N/A,FALSE,"MO (2)"}</definedName>
    <definedName name="SSS" localSheetId="3" hidden="1">{#N/A,#N/A,FALSE,"MO (2)"}</definedName>
    <definedName name="SSS" localSheetId="0" hidden="1">{#N/A,#N/A,FALSE,"MO (2)"}</definedName>
    <definedName name="SSS" hidden="1">{#N/A,#N/A,FALSE,"MO (2)"}</definedName>
    <definedName name="SSS_1" localSheetId="13" hidden="1">{#N/A,#N/A,FALSE,"MO (2)"}</definedName>
    <definedName name="SSS_1" localSheetId="2" hidden="1">{#N/A,#N/A,FALSE,"MO (2)"}</definedName>
    <definedName name="SSS_1" localSheetId="3" hidden="1">{#N/A,#N/A,FALSE,"MO (2)"}</definedName>
    <definedName name="SSS_1" localSheetId="0" hidden="1">{#N/A,#N/A,FALSE,"MO (2)"}</definedName>
    <definedName name="SSS_1" hidden="1">{#N/A,#N/A,FALSE,"MO (2)"}</definedName>
    <definedName name="TIPOORCAMENTO" hidden="1">IF(VALUE([3]MENU!$O$3)=2,"Licitado","Proposto")</definedName>
    <definedName name="Versao" hidden="1">[3]MENU!$J$2</definedName>
    <definedName name="VTOTAL1" hidden="1">ROUND([3]ORÇAMENTO!$T1*[3]ORÇAMENTO!$W1,15-13*[3]ORÇAMENTO!$AF$11)</definedName>
    <definedName name="VTOTALBM" hidden="1">IF([3]BM!$I1=0,0,CHOOSE(MATCH(RegimeExecucao,{"Global","Unitário"},0),ROUND(ROUND([3]BM!XFB1,15-13*[3]BM!$A$9)/100*[3]BM!$I1,15-13*[3]ORÇAMENTO!$AF$11),ROUND(ROUND([3]BM!XFB1,15-13*[3]BM!$A$9)*ROUND([3]BM!$H1,15-13*[3]ORÇAMENTO!$AF$10),15-13*[3]ORÇAMENTO!$AF$11)))</definedName>
    <definedName name="vvv" localSheetId="13" hidden="1">{#N/A,#N/A,FALSE,"MO (2)"}</definedName>
    <definedName name="vvv" localSheetId="2" hidden="1">{#N/A,#N/A,FALSE,"MO (2)"}</definedName>
    <definedName name="vvv" localSheetId="3" hidden="1">{#N/A,#N/A,FALSE,"MO (2)"}</definedName>
    <definedName name="vvv" localSheetId="0" hidden="1">{#N/A,#N/A,FALSE,"MO (2)"}</definedName>
    <definedName name="vvv" hidden="1">{#N/A,#N/A,FALSE,"MO (2)"}</definedName>
    <definedName name="vvv_1" localSheetId="13" hidden="1">{#N/A,#N/A,FALSE,"MO (2)"}</definedName>
    <definedName name="vvv_1" localSheetId="2" hidden="1">{#N/A,#N/A,FALSE,"MO (2)"}</definedName>
    <definedName name="vvv_1" localSheetId="3" hidden="1">{#N/A,#N/A,FALSE,"MO (2)"}</definedName>
    <definedName name="vvv_1" localSheetId="0" hidden="1">{#N/A,#N/A,FALSE,"MO (2)"}</definedName>
    <definedName name="vvv_1" hidden="1">{#N/A,#N/A,FALSE,"MO (2)"}</definedName>
    <definedName name="wrn.mo2." localSheetId="13" hidden="1">{#N/A,#N/A,FALSE,"MO (2)"}</definedName>
    <definedName name="wrn.mo2." localSheetId="2" hidden="1">{#N/A,#N/A,FALSE,"MO (2)"}</definedName>
    <definedName name="wrn.mo2." localSheetId="3" hidden="1">{#N/A,#N/A,FALSE,"MO (2)"}</definedName>
    <definedName name="wrn.mo2." localSheetId="0" hidden="1">{#N/A,#N/A,FALSE,"MO (2)"}</definedName>
    <definedName name="wrn.mo2." hidden="1">{#N/A,#N/A,FALSE,"MO (2)"}</definedName>
    <definedName name="wrn.mo2._1" localSheetId="13" hidden="1">{#N/A,#N/A,FALSE,"MO (2)"}</definedName>
    <definedName name="wrn.mo2._1" localSheetId="2" hidden="1">{#N/A,#N/A,FALSE,"MO (2)"}</definedName>
    <definedName name="wrn.mo2._1" localSheetId="3" hidden="1">{#N/A,#N/A,FALSE,"MO (2)"}</definedName>
    <definedName name="wrn.mo2._1" localSheetId="0" hidden="1">{#N/A,#N/A,FALSE,"MO (2)"}</definedName>
    <definedName name="wrn.mo2._1" hidden="1">{#N/A,#N/A,FALSE,"MO (2)"}</definedName>
    <definedName name="wrn.relext." localSheetId="13" hidden="1">{#N/A,#N/A,TRUE,"Plan1"}</definedName>
    <definedName name="wrn.relext." localSheetId="2" hidden="1">{#N/A,#N/A,TRUE,"Plan1"}</definedName>
    <definedName name="wrn.relext." localSheetId="3" hidden="1">{#N/A,#N/A,TRUE,"Plan1"}</definedName>
    <definedName name="wrn.relext." localSheetId="0" hidden="1">{#N/A,#N/A,TRUE,"Plan1"}</definedName>
    <definedName name="wrn.relext." hidden="1">{#N/A,#N/A,TRUE,"Plan1"}</definedName>
    <definedName name="wrn.relext._1" localSheetId="13" hidden="1">{#N/A,#N/A,TRUE,"Plan1"}</definedName>
    <definedName name="wrn.relext._1" localSheetId="2" hidden="1">{#N/A,#N/A,TRUE,"Plan1"}</definedName>
    <definedName name="wrn.relext._1" localSheetId="3" hidden="1">{#N/A,#N/A,TRUE,"Plan1"}</definedName>
    <definedName name="wrn.relext._1" localSheetId="0" hidden="1">{#N/A,#N/A,TRUE,"Plan1"}</definedName>
    <definedName name="wrn.relext._1" hidden="1">{#N/A,#N/A,TRUE,"Plan1"}</definedName>
    <definedName name="z" localSheetId="13" hidden="1">{#N/A,#N/A,FALSE,"MO (2)"}</definedName>
    <definedName name="z" localSheetId="2" hidden="1">{#N/A,#N/A,FALSE,"MO (2)"}</definedName>
    <definedName name="z" localSheetId="3" hidden="1">{#N/A,#N/A,FALSE,"MO (2)"}</definedName>
    <definedName name="z" localSheetId="0" hidden="1">{#N/A,#N/A,FALSE,"MO (2)"}</definedName>
    <definedName name="z" hidden="1">{#N/A,#N/A,FALSE,"MO (2)"}</definedName>
    <definedName name="z_1" localSheetId="13" hidden="1">{#N/A,#N/A,FALSE,"MO (2)"}</definedName>
    <definedName name="z_1" localSheetId="2" hidden="1">{#N/A,#N/A,FALSE,"MO (2)"}</definedName>
    <definedName name="z_1" localSheetId="3" hidden="1">{#N/A,#N/A,FALSE,"MO (2)"}</definedName>
    <definedName name="z_1" localSheetId="0" hidden="1">{#N/A,#N/A,FALSE,"MO (2)"}</definedName>
    <definedName name="z_1" hidden="1">{#N/A,#N/A,FALSE,"MO (2)"}</definedName>
    <definedName name="zaza" localSheetId="13" hidden="1">{#N/A,#N/A,FALSE,"MO (2)"}</definedName>
    <definedName name="zaza" localSheetId="2" hidden="1">{#N/A,#N/A,FALSE,"MO (2)"}</definedName>
    <definedName name="zaza" localSheetId="3" hidden="1">{#N/A,#N/A,FALSE,"MO (2)"}</definedName>
    <definedName name="zaza" localSheetId="0" hidden="1">{#N/A,#N/A,FALSE,"MO (2)"}</definedName>
    <definedName name="zaza" hidden="1">{#N/A,#N/A,FALSE,"MO (2)"}</definedName>
    <definedName name="zaza_1" localSheetId="13" hidden="1">{#N/A,#N/A,FALSE,"MO (2)"}</definedName>
    <definedName name="zaza_1" localSheetId="2" hidden="1">{#N/A,#N/A,FALSE,"MO (2)"}</definedName>
    <definedName name="zaza_1" localSheetId="3" hidden="1">{#N/A,#N/A,FALSE,"MO (2)"}</definedName>
    <definedName name="zaza_1" localSheetId="0" hidden="1">{#N/A,#N/A,FALSE,"MO (2)"}</definedName>
    <definedName name="zaza_1" hidden="1">{#N/A,#N/A,FALSE,"MO (2)"}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27" l="1"/>
  <c r="S26" i="27"/>
  <c r="S25" i="27"/>
  <c r="S24" i="27"/>
  <c r="S23" i="27"/>
  <c r="S22" i="27"/>
  <c r="S21" i="27"/>
  <c r="S20" i="27"/>
  <c r="S19" i="27"/>
  <c r="S18" i="27"/>
  <c r="S17" i="27"/>
  <c r="S16" i="27"/>
  <c r="S15" i="27"/>
  <c r="S14" i="27"/>
  <c r="Q31" i="25"/>
  <c r="Q30" i="25"/>
  <c r="B14" i="8"/>
  <c r="A14" i="8"/>
  <c r="F26" i="1"/>
  <c r="F24" i="1"/>
  <c r="P27" i="28"/>
  <c r="P26" i="28"/>
  <c r="P25" i="28"/>
  <c r="P24" i="28"/>
  <c r="P23" i="28"/>
  <c r="P22" i="28"/>
  <c r="P21" i="28"/>
  <c r="P20" i="28"/>
  <c r="P19" i="28"/>
  <c r="P18" i="28"/>
  <c r="P17" i="28"/>
  <c r="P16" i="28"/>
  <c r="P15" i="28"/>
  <c r="P14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H28" i="28"/>
  <c r="G28" i="28"/>
  <c r="F28" i="28"/>
  <c r="D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J27" i="27"/>
  <c r="J26" i="27"/>
  <c r="J25" i="27"/>
  <c r="J24" i="27"/>
  <c r="K24" i="27" s="1"/>
  <c r="M24" i="27" s="1"/>
  <c r="J23" i="27"/>
  <c r="J22" i="27"/>
  <c r="J21" i="27"/>
  <c r="J20" i="27"/>
  <c r="K20" i="27" s="1"/>
  <c r="M20" i="27" s="1"/>
  <c r="J19" i="27"/>
  <c r="J18" i="27"/>
  <c r="J17" i="27"/>
  <c r="J16" i="27"/>
  <c r="K16" i="27" s="1"/>
  <c r="M16" i="27" s="1"/>
  <c r="J15" i="27"/>
  <c r="J14" i="27"/>
  <c r="I22" i="27"/>
  <c r="I14" i="27"/>
  <c r="D27" i="27"/>
  <c r="I27" i="27" s="1"/>
  <c r="D26" i="27"/>
  <c r="I26" i="27" s="1"/>
  <c r="K26" i="27" s="1"/>
  <c r="M26" i="27" s="1"/>
  <c r="D25" i="27"/>
  <c r="I25" i="27" s="1"/>
  <c r="K25" i="27" s="1"/>
  <c r="M25" i="27" s="1"/>
  <c r="D24" i="27"/>
  <c r="I24" i="27" s="1"/>
  <c r="D23" i="27"/>
  <c r="I23" i="27" s="1"/>
  <c r="D22" i="27"/>
  <c r="D21" i="27"/>
  <c r="I21" i="27" s="1"/>
  <c r="K21" i="27" s="1"/>
  <c r="M21" i="27" s="1"/>
  <c r="D20" i="27"/>
  <c r="I20" i="27" s="1"/>
  <c r="D19" i="27"/>
  <c r="I19" i="27" s="1"/>
  <c r="D18" i="27"/>
  <c r="I18" i="27" s="1"/>
  <c r="K18" i="27" s="1"/>
  <c r="M18" i="27" s="1"/>
  <c r="D17" i="27"/>
  <c r="I17" i="27" s="1"/>
  <c r="K17" i="27" s="1"/>
  <c r="M17" i="27" s="1"/>
  <c r="D16" i="27"/>
  <c r="I16" i="27" s="1"/>
  <c r="D15" i="27"/>
  <c r="I15" i="27" s="1"/>
  <c r="D14" i="27"/>
  <c r="B27" i="27"/>
  <c r="B26" i="27"/>
  <c r="B25" i="27"/>
  <c r="B24" i="27"/>
  <c r="B23" i="27"/>
  <c r="B22" i="27"/>
  <c r="B21" i="27"/>
  <c r="B15" i="27"/>
  <c r="B16" i="27"/>
  <c r="B17" i="27"/>
  <c r="B18" i="27"/>
  <c r="B19" i="27"/>
  <c r="B20" i="27"/>
  <c r="B14" i="27"/>
  <c r="J28" i="27"/>
  <c r="P28" i="28" l="1"/>
  <c r="F25" i="1" s="1"/>
  <c r="K14" i="27"/>
  <c r="M14" i="27" s="1"/>
  <c r="K22" i="27"/>
  <c r="M22" i="27" s="1"/>
  <c r="S28" i="27"/>
  <c r="F23" i="1" s="1"/>
  <c r="K15" i="27"/>
  <c r="K19" i="27"/>
  <c r="M19" i="27" s="1"/>
  <c r="K23" i="27"/>
  <c r="M23" i="27" s="1"/>
  <c r="K27" i="27"/>
  <c r="M27" i="27" s="1"/>
  <c r="D28" i="27"/>
  <c r="J28" i="28"/>
  <c r="I28" i="27"/>
  <c r="M28" i="27" l="1"/>
  <c r="K28" i="27"/>
  <c r="F22" i="1" s="1"/>
  <c r="M15" i="27"/>
  <c r="D24" i="16" l="1"/>
  <c r="D25" i="16"/>
  <c r="G33" i="13"/>
  <c r="B29" i="1"/>
  <c r="B28" i="1"/>
  <c r="F40" i="1"/>
  <c r="F39" i="1"/>
  <c r="F41" i="1"/>
  <c r="P65" i="15" l="1"/>
  <c r="P46" i="15"/>
  <c r="P27" i="15"/>
  <c r="F37" i="1"/>
  <c r="F36" i="1"/>
  <c r="IM126" i="14"/>
  <c r="IM125" i="14"/>
  <c r="O126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67" i="15"/>
  <c r="L122" i="14"/>
  <c r="L121" i="14"/>
  <c r="L120" i="14"/>
  <c r="L119" i="14"/>
  <c r="L118" i="14"/>
  <c r="L117" i="14"/>
  <c r="L116" i="14"/>
  <c r="L115" i="14"/>
  <c r="L114" i="14"/>
  <c r="L113" i="14"/>
  <c r="L112" i="14"/>
  <c r="L111" i="14"/>
  <c r="L110" i="14"/>
  <c r="L109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F65" i="14"/>
  <c r="L65" i="14" s="1"/>
  <c r="F64" i="14"/>
  <c r="L64" i="14" s="1"/>
  <c r="F63" i="14"/>
  <c r="L63" i="14" s="1"/>
  <c r="F62" i="14"/>
  <c r="L62" i="14" s="1"/>
  <c r="F61" i="14"/>
  <c r="L61" i="14" s="1"/>
  <c r="F60" i="14"/>
  <c r="L60" i="14" s="1"/>
  <c r="F59" i="14"/>
  <c r="L59" i="14" s="1"/>
  <c r="F58" i="14"/>
  <c r="L58" i="14" s="1"/>
  <c r="F57" i="14"/>
  <c r="L57" i="14" s="1"/>
  <c r="F56" i="14"/>
  <c r="L56" i="14" s="1"/>
  <c r="F55" i="14"/>
  <c r="L55" i="14" s="1"/>
  <c r="F54" i="14"/>
  <c r="L54" i="14" s="1"/>
  <c r="F53" i="14"/>
  <c r="L53" i="14" s="1"/>
  <c r="F52" i="14"/>
  <c r="L52" i="14" s="1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L27" i="14"/>
  <c r="N27" i="14" s="1"/>
  <c r="L26" i="14"/>
  <c r="N26" i="14" s="1"/>
  <c r="L24" i="14"/>
  <c r="N24" i="14" s="1"/>
  <c r="L23" i="14"/>
  <c r="N23" i="14" s="1"/>
  <c r="L21" i="14"/>
  <c r="N21" i="14" s="1"/>
  <c r="L19" i="14"/>
  <c r="N19" i="14" s="1"/>
  <c r="L18" i="14"/>
  <c r="N18" i="14" s="1"/>
  <c r="L16" i="14"/>
  <c r="N16" i="14" s="1"/>
  <c r="L15" i="14"/>
  <c r="N15" i="14" s="1"/>
  <c r="L14" i="14"/>
  <c r="N14" i="14" s="1"/>
  <c r="N25" i="14"/>
  <c r="N22" i="14"/>
  <c r="N20" i="14"/>
  <c r="N17" i="14"/>
  <c r="J18" i="24"/>
  <c r="M18" i="24"/>
  <c r="J29" i="25"/>
  <c r="M29" i="25" s="1"/>
  <c r="J31" i="25"/>
  <c r="M31" i="25" s="1"/>
  <c r="J30" i="25"/>
  <c r="M30" i="25" s="1"/>
  <c r="M28" i="25"/>
  <c r="M27" i="25"/>
  <c r="M26" i="25"/>
  <c r="M25" i="25"/>
  <c r="M24" i="25"/>
  <c r="M23" i="25"/>
  <c r="M22" i="25"/>
  <c r="M21" i="25"/>
  <c r="M20" i="25"/>
  <c r="M19" i="25"/>
  <c r="P21" i="7"/>
  <c r="M25" i="24"/>
  <c r="M24" i="24"/>
  <c r="M22" i="24"/>
  <c r="M23" i="24"/>
  <c r="M21" i="24"/>
  <c r="M20" i="24"/>
  <c r="M19" i="24"/>
  <c r="F33" i="1"/>
  <c r="F66" i="14" l="1"/>
  <c r="L28" i="14"/>
  <c r="L123" i="14"/>
  <c r="L104" i="14"/>
  <c r="L85" i="14"/>
  <c r="L66" i="14"/>
  <c r="N47" i="14"/>
  <c r="N28" i="14"/>
  <c r="M32" i="25"/>
  <c r="G29" i="1" s="1"/>
  <c r="M26" i="24"/>
  <c r="G28" i="1" s="1"/>
  <c r="O125" i="14" l="1"/>
  <c r="G41" i="13" l="1"/>
  <c r="F19" i="1" s="1"/>
  <c r="D28" i="16"/>
  <c r="I82" i="22"/>
  <c r="I78" i="22"/>
  <c r="I77" i="22"/>
  <c r="I80" i="22" s="1"/>
  <c r="I73" i="22"/>
  <c r="I72" i="22"/>
  <c r="I68" i="22"/>
  <c r="I67" i="22"/>
  <c r="I70" i="22" s="1"/>
  <c r="I63" i="22"/>
  <c r="I62" i="22"/>
  <c r="I58" i="22"/>
  <c r="I57" i="22"/>
  <c r="I53" i="22"/>
  <c r="I52" i="22"/>
  <c r="I48" i="22"/>
  <c r="I47" i="22"/>
  <c r="I43" i="22"/>
  <c r="I42" i="22"/>
  <c r="I38" i="22"/>
  <c r="G23" i="13"/>
  <c r="D19" i="16"/>
  <c r="I45" i="22" l="1"/>
  <c r="I75" i="22"/>
  <c r="I50" i="22"/>
  <c r="I65" i="22"/>
  <c r="I60" i="22"/>
  <c r="I55" i="22"/>
  <c r="I37" i="22" l="1"/>
  <c r="I40" i="22" s="1"/>
  <c r="I33" i="22"/>
  <c r="I32" i="22"/>
  <c r="I28" i="22"/>
  <c r="I27" i="22"/>
  <c r="I23" i="22"/>
  <c r="I22" i="22"/>
  <c r="I18" i="22"/>
  <c r="I17" i="22"/>
  <c r="I13" i="22"/>
  <c r="I12" i="22"/>
  <c r="I49" i="19"/>
  <c r="I43" i="19"/>
  <c r="I38" i="19"/>
  <c r="G49" i="19"/>
  <c r="G48" i="19"/>
  <c r="I48" i="19" s="1"/>
  <c r="G45" i="19"/>
  <c r="I45" i="19" s="1"/>
  <c r="G44" i="19"/>
  <c r="I44" i="19" s="1"/>
  <c r="G43" i="19"/>
  <c r="G42" i="19"/>
  <c r="I42" i="19" s="1"/>
  <c r="G40" i="19"/>
  <c r="I40" i="19" s="1"/>
  <c r="G39" i="19"/>
  <c r="I39" i="19" s="1"/>
  <c r="G38" i="19"/>
  <c r="G37" i="19"/>
  <c r="I37" i="19" s="1"/>
  <c r="G36" i="19"/>
  <c r="I36" i="19" s="1"/>
  <c r="D49" i="19"/>
  <c r="D48" i="19"/>
  <c r="D45" i="19"/>
  <c r="D44" i="19"/>
  <c r="D43" i="19"/>
  <c r="D42" i="19"/>
  <c r="D40" i="19"/>
  <c r="D39" i="19"/>
  <c r="D38" i="19"/>
  <c r="D37" i="19"/>
  <c r="D36" i="19"/>
  <c r="G22" i="19"/>
  <c r="I22" i="19" s="1"/>
  <c r="G18" i="19"/>
  <c r="I18" i="19" s="1"/>
  <c r="D29" i="19"/>
  <c r="G29" i="19" s="1"/>
  <c r="I29" i="19" s="1"/>
  <c r="D28" i="19"/>
  <c r="G28" i="19" s="1"/>
  <c r="I28" i="19" s="1"/>
  <c r="D25" i="19"/>
  <c r="G25" i="19" s="1"/>
  <c r="I25" i="19" s="1"/>
  <c r="D24" i="19"/>
  <c r="G24" i="19" s="1"/>
  <c r="I24" i="19" s="1"/>
  <c r="D23" i="19"/>
  <c r="G23" i="19" s="1"/>
  <c r="I23" i="19" s="1"/>
  <c r="D22" i="19"/>
  <c r="D20" i="19"/>
  <c r="G20" i="19" s="1"/>
  <c r="I20" i="19" s="1"/>
  <c r="D19" i="19"/>
  <c r="G19" i="19" s="1"/>
  <c r="I19" i="19" s="1"/>
  <c r="D18" i="19"/>
  <c r="D17" i="19"/>
  <c r="G17" i="19" s="1"/>
  <c r="D16" i="19"/>
  <c r="G16" i="19" s="1"/>
  <c r="I16" i="19" s="1"/>
  <c r="D28" i="18"/>
  <c r="H28" i="18" s="1"/>
  <c r="D27" i="18"/>
  <c r="H27" i="18" s="1"/>
  <c r="D24" i="18"/>
  <c r="H24" i="18" s="1"/>
  <c r="D23" i="18"/>
  <c r="H23" i="18" s="1"/>
  <c r="D22" i="18"/>
  <c r="H22" i="18" s="1"/>
  <c r="D21" i="18"/>
  <c r="H21" i="18" s="1"/>
  <c r="D19" i="18"/>
  <c r="H19" i="18" s="1"/>
  <c r="D18" i="18"/>
  <c r="H18" i="18" s="1"/>
  <c r="D17" i="18"/>
  <c r="D16" i="18"/>
  <c r="H16" i="18" s="1"/>
  <c r="D15" i="18"/>
  <c r="H15" i="18" s="1"/>
  <c r="H17" i="18"/>
  <c r="J27" i="17"/>
  <c r="J26" i="17"/>
  <c r="J23" i="17"/>
  <c r="J22" i="17"/>
  <c r="J21" i="17"/>
  <c r="J20" i="17"/>
  <c r="J18" i="17"/>
  <c r="J17" i="17"/>
  <c r="J16" i="17"/>
  <c r="J15" i="17"/>
  <c r="J14" i="17"/>
  <c r="H27" i="17"/>
  <c r="H26" i="17"/>
  <c r="H23" i="17"/>
  <c r="H22" i="17"/>
  <c r="H21" i="17"/>
  <c r="H20" i="17"/>
  <c r="H18" i="17"/>
  <c r="H17" i="17"/>
  <c r="H16" i="17"/>
  <c r="H15" i="17"/>
  <c r="H14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28" i="17" s="1"/>
  <c r="G14" i="17"/>
  <c r="F27" i="17"/>
  <c r="F26" i="17"/>
  <c r="F25" i="17"/>
  <c r="H25" i="17" s="1"/>
  <c r="J25" i="17" s="1"/>
  <c r="F23" i="17"/>
  <c r="F22" i="17"/>
  <c r="F21" i="17"/>
  <c r="F20" i="17"/>
  <c r="F19" i="17"/>
  <c r="H19" i="17" s="1"/>
  <c r="J19" i="17" s="1"/>
  <c r="F18" i="17"/>
  <c r="F17" i="17"/>
  <c r="F16" i="17"/>
  <c r="F15" i="17"/>
  <c r="F14" i="17"/>
  <c r="D27" i="17"/>
  <c r="D26" i="17"/>
  <c r="D25" i="17"/>
  <c r="D24" i="17"/>
  <c r="F24" i="17" s="1"/>
  <c r="H24" i="17" s="1"/>
  <c r="J24" i="17" s="1"/>
  <c r="D23" i="17"/>
  <c r="D22" i="17"/>
  <c r="D21" i="17"/>
  <c r="D20" i="17"/>
  <c r="D19" i="17"/>
  <c r="D18" i="17"/>
  <c r="D17" i="17"/>
  <c r="D16" i="17"/>
  <c r="D15" i="17"/>
  <c r="D14" i="17"/>
  <c r="B27" i="17"/>
  <c r="J27" i="16"/>
  <c r="J26" i="16"/>
  <c r="J23" i="16"/>
  <c r="J22" i="16"/>
  <c r="J21" i="16"/>
  <c r="J20" i="16"/>
  <c r="J18" i="16"/>
  <c r="J17" i="16"/>
  <c r="J16" i="16"/>
  <c r="J15" i="16"/>
  <c r="J14" i="16"/>
  <c r="J41" i="13"/>
  <c r="I17" i="13"/>
  <c r="I15" i="13"/>
  <c r="I13" i="13"/>
  <c r="F16" i="16"/>
  <c r="F14" i="16"/>
  <c r="H15" i="16"/>
  <c r="H16" i="16"/>
  <c r="H17" i="16"/>
  <c r="H18" i="16"/>
  <c r="H20" i="16"/>
  <c r="H21" i="16"/>
  <c r="H22" i="16"/>
  <c r="H23" i="16"/>
  <c r="H26" i="16"/>
  <c r="H27" i="16"/>
  <c r="H14" i="16"/>
  <c r="G28" i="16"/>
  <c r="G26" i="16"/>
  <c r="F27" i="16"/>
  <c r="F26" i="16"/>
  <c r="F25" i="16"/>
  <c r="H25" i="16" s="1"/>
  <c r="F24" i="16"/>
  <c r="H24" i="16" s="1"/>
  <c r="D25" i="18" s="1"/>
  <c r="H25" i="18" s="1"/>
  <c r="F23" i="16"/>
  <c r="F22" i="16"/>
  <c r="F21" i="16"/>
  <c r="F20" i="16"/>
  <c r="F19" i="16"/>
  <c r="F18" i="16"/>
  <c r="F17" i="16"/>
  <c r="F15" i="16"/>
  <c r="D27" i="16"/>
  <c r="D26" i="16"/>
  <c r="D23" i="16"/>
  <c r="D21" i="16"/>
  <c r="D18" i="16"/>
  <c r="D17" i="16"/>
  <c r="D16" i="16"/>
  <c r="D15" i="16"/>
  <c r="D14" i="16"/>
  <c r="K19" i="26"/>
  <c r="K22" i="26"/>
  <c r="K29" i="26" s="1"/>
  <c r="J13" i="1" s="1"/>
  <c r="K13" i="26"/>
  <c r="B27" i="16"/>
  <c r="A76" i="22" s="1"/>
  <c r="B26" i="16"/>
  <c r="A71" i="22" s="1"/>
  <c r="B25" i="16"/>
  <c r="A66" i="22" s="1"/>
  <c r="B24" i="16"/>
  <c r="A61" i="22" s="1"/>
  <c r="B23" i="16"/>
  <c r="A56" i="22" s="1"/>
  <c r="B22" i="16"/>
  <c r="A51" i="22" s="1"/>
  <c r="B21" i="16"/>
  <c r="A46" i="22" s="1"/>
  <c r="B20" i="16"/>
  <c r="A41" i="22" s="1"/>
  <c r="B19" i="16"/>
  <c r="A36" i="22" s="1"/>
  <c r="B18" i="16"/>
  <c r="A31" i="22" s="1"/>
  <c r="B17" i="16"/>
  <c r="B17" i="17" s="1"/>
  <c r="B16" i="16"/>
  <c r="B17" i="18" s="1"/>
  <c r="B15" i="16"/>
  <c r="A16" i="22" s="1"/>
  <c r="B14" i="16"/>
  <c r="A11" i="22" s="1"/>
  <c r="H25" i="1" l="1"/>
  <c r="I25" i="1" s="1"/>
  <c r="H23" i="1"/>
  <c r="I23" i="1" s="1"/>
  <c r="H26" i="1"/>
  <c r="I26" i="1" s="1"/>
  <c r="H22" i="1"/>
  <c r="I22" i="1" s="1"/>
  <c r="H24" i="1"/>
  <c r="I24" i="1" s="1"/>
  <c r="D28" i="17"/>
  <c r="J25" i="16"/>
  <c r="D27" i="19"/>
  <c r="D26" i="18"/>
  <c r="H26" i="18" s="1"/>
  <c r="D26" i="19"/>
  <c r="J24" i="16"/>
  <c r="F28" i="17"/>
  <c r="F28" i="16"/>
  <c r="B17" i="19"/>
  <c r="B37" i="19" s="1"/>
  <c r="B21" i="19"/>
  <c r="B41" i="19" s="1"/>
  <c r="B25" i="19"/>
  <c r="B45" i="19" s="1"/>
  <c r="B14" i="17"/>
  <c r="B18" i="17"/>
  <c r="B22" i="17"/>
  <c r="B18" i="18"/>
  <c r="B22" i="18"/>
  <c r="B27" i="18"/>
  <c r="A26" i="22"/>
  <c r="B15" i="17"/>
  <c r="B19" i="17"/>
  <c r="B23" i="17"/>
  <c r="B15" i="18"/>
  <c r="B19" i="18"/>
  <c r="B23" i="18"/>
  <c r="B28" i="18"/>
  <c r="B18" i="19"/>
  <c r="B38" i="19" s="1"/>
  <c r="B22" i="19"/>
  <c r="B42" i="19" s="1"/>
  <c r="B26" i="19"/>
  <c r="B46" i="19" s="1"/>
  <c r="A21" i="22"/>
  <c r="B16" i="17"/>
  <c r="B20" i="17"/>
  <c r="B24" i="17"/>
  <c r="B16" i="18"/>
  <c r="B20" i="18"/>
  <c r="B24" i="18"/>
  <c r="B19" i="19"/>
  <c r="B39" i="19" s="1"/>
  <c r="B23" i="19"/>
  <c r="B43" i="19" s="1"/>
  <c r="B28" i="19"/>
  <c r="B48" i="19" s="1"/>
  <c r="B21" i="17"/>
  <c r="B26" i="17"/>
  <c r="B21" i="18"/>
  <c r="B25" i="18"/>
  <c r="B16" i="19"/>
  <c r="B36" i="19" s="1"/>
  <c r="B20" i="19"/>
  <c r="B40" i="19" s="1"/>
  <c r="B24" i="19"/>
  <c r="B44" i="19" s="1"/>
  <c r="B29" i="19"/>
  <c r="B49" i="19" s="1"/>
  <c r="B27" i="19"/>
  <c r="B47" i="19" s="1"/>
  <c r="B26" i="18"/>
  <c r="B25" i="17"/>
  <c r="I35" i="22"/>
  <c r="I15" i="22"/>
  <c r="I30" i="22"/>
  <c r="I25" i="22"/>
  <c r="I20" i="22"/>
  <c r="H28" i="17"/>
  <c r="H19" i="16"/>
  <c r="I17" i="19"/>
  <c r="J28" i="17"/>
  <c r="B15" i="14"/>
  <c r="B34" i="14" s="1"/>
  <c r="B53" i="14" s="1"/>
  <c r="B72" i="14" s="1"/>
  <c r="B91" i="14" s="1"/>
  <c r="B110" i="14" s="1"/>
  <c r="B16" i="14"/>
  <c r="B35" i="14" s="1"/>
  <c r="B54" i="14" s="1"/>
  <c r="B73" i="14" s="1"/>
  <c r="B92" i="14" s="1"/>
  <c r="B111" i="14" s="1"/>
  <c r="B17" i="14"/>
  <c r="B36" i="14" s="1"/>
  <c r="B55" i="14" s="1"/>
  <c r="B74" i="14" s="1"/>
  <c r="B93" i="14" s="1"/>
  <c r="B112" i="14" s="1"/>
  <c r="B18" i="14"/>
  <c r="B37" i="14" s="1"/>
  <c r="B56" i="14" s="1"/>
  <c r="B75" i="14" s="1"/>
  <c r="B94" i="14" s="1"/>
  <c r="B113" i="14" s="1"/>
  <c r="B19" i="14"/>
  <c r="B38" i="14" s="1"/>
  <c r="B57" i="14" s="1"/>
  <c r="B76" i="14" s="1"/>
  <c r="B95" i="14" s="1"/>
  <c r="B114" i="14" s="1"/>
  <c r="B20" i="14"/>
  <c r="B39" i="14" s="1"/>
  <c r="B58" i="14" s="1"/>
  <c r="B77" i="14" s="1"/>
  <c r="B96" i="14" s="1"/>
  <c r="B115" i="14" s="1"/>
  <c r="B21" i="14"/>
  <c r="B40" i="14" s="1"/>
  <c r="B59" i="14" s="1"/>
  <c r="B78" i="14" s="1"/>
  <c r="B97" i="14" s="1"/>
  <c r="B116" i="14" s="1"/>
  <c r="B22" i="14"/>
  <c r="B41" i="14" s="1"/>
  <c r="B60" i="14" s="1"/>
  <c r="B79" i="14" s="1"/>
  <c r="B98" i="14" s="1"/>
  <c r="B117" i="14" s="1"/>
  <c r="B23" i="14"/>
  <c r="B42" i="14" s="1"/>
  <c r="B61" i="14" s="1"/>
  <c r="B80" i="14" s="1"/>
  <c r="B99" i="14" s="1"/>
  <c r="B118" i="14" s="1"/>
  <c r="B24" i="14"/>
  <c r="B43" i="14" s="1"/>
  <c r="B62" i="14" s="1"/>
  <c r="B81" i="14" s="1"/>
  <c r="B100" i="14" s="1"/>
  <c r="B119" i="14" s="1"/>
  <c r="B25" i="14"/>
  <c r="B44" i="14" s="1"/>
  <c r="B63" i="14" s="1"/>
  <c r="B82" i="14" s="1"/>
  <c r="B101" i="14" s="1"/>
  <c r="B120" i="14" s="1"/>
  <c r="B26" i="14"/>
  <c r="B45" i="14" s="1"/>
  <c r="B64" i="14" s="1"/>
  <c r="B83" i="14" s="1"/>
  <c r="B102" i="14" s="1"/>
  <c r="B121" i="14" s="1"/>
  <c r="B27" i="14"/>
  <c r="B46" i="14" s="1"/>
  <c r="B65" i="14" s="1"/>
  <c r="B84" i="14" s="1"/>
  <c r="B103" i="14" s="1"/>
  <c r="B122" i="14" s="1"/>
  <c r="B14" i="14"/>
  <c r="B33" i="14" s="1"/>
  <c r="B52" i="14" s="1"/>
  <c r="B71" i="14" s="1"/>
  <c r="B90" i="14" s="1"/>
  <c r="B109" i="14" s="1"/>
  <c r="F65" i="15"/>
  <c r="F46" i="15"/>
  <c r="B45" i="15"/>
  <c r="B64" i="15" s="1"/>
  <c r="B44" i="15"/>
  <c r="B63" i="15" s="1"/>
  <c r="B43" i="15"/>
  <c r="B62" i="15" s="1"/>
  <c r="B42" i="15"/>
  <c r="B61" i="15" s="1"/>
  <c r="B41" i="15"/>
  <c r="B60" i="15" s="1"/>
  <c r="B40" i="15"/>
  <c r="B59" i="15" s="1"/>
  <c r="B39" i="15"/>
  <c r="B58" i="15" s="1"/>
  <c r="B38" i="15"/>
  <c r="B57" i="15" s="1"/>
  <c r="B37" i="15"/>
  <c r="B56" i="15" s="1"/>
  <c r="B36" i="15"/>
  <c r="B55" i="15" s="1"/>
  <c r="B35" i="15"/>
  <c r="B54" i="15" s="1"/>
  <c r="B34" i="15"/>
  <c r="B53" i="15" s="1"/>
  <c r="B33" i="15"/>
  <c r="B52" i="15" s="1"/>
  <c r="B32" i="15"/>
  <c r="B51" i="15" s="1"/>
  <c r="F27" i="15"/>
  <c r="H21" i="1" l="1"/>
  <c r="G26" i="19"/>
  <c r="I26" i="19" s="1"/>
  <c r="D46" i="19"/>
  <c r="G46" i="19" s="1"/>
  <c r="I46" i="19" s="1"/>
  <c r="G27" i="19"/>
  <c r="I27" i="19" s="1"/>
  <c r="D47" i="19"/>
  <c r="G47" i="19" s="1"/>
  <c r="I47" i="19" s="1"/>
  <c r="D20" i="18"/>
  <c r="J19" i="16"/>
  <c r="J28" i="16" s="1"/>
  <c r="D21" i="19"/>
  <c r="H28" i="16"/>
  <c r="F28" i="1" s="1"/>
  <c r="J33" i="13"/>
  <c r="J25" i="13"/>
  <c r="J23" i="13"/>
  <c r="J17" i="13"/>
  <c r="G39" i="13"/>
  <c r="I39" i="13" s="1"/>
  <c r="G37" i="13"/>
  <c r="I37" i="13" s="1"/>
  <c r="G35" i="13"/>
  <c r="I35" i="13" s="1"/>
  <c r="I33" i="13"/>
  <c r="G31" i="13"/>
  <c r="I31" i="13" s="1"/>
  <c r="G27" i="13"/>
  <c r="I27" i="13" s="1"/>
  <c r="G21" i="13"/>
  <c r="G19" i="13"/>
  <c r="I19" i="13" s="1"/>
  <c r="G17" i="13"/>
  <c r="G13" i="13"/>
  <c r="I23" i="13"/>
  <c r="G15" i="13"/>
  <c r="I29" i="13"/>
  <c r="I25" i="13"/>
  <c r="I41" i="13" l="1"/>
  <c r="H20" i="18"/>
  <c r="H29" i="18" s="1"/>
  <c r="F30" i="1" s="1"/>
  <c r="D29" i="18"/>
  <c r="G21" i="19"/>
  <c r="D41" i="19"/>
  <c r="D30" i="19"/>
  <c r="I21" i="13"/>
  <c r="D50" i="19" l="1"/>
  <c r="G41" i="19"/>
  <c r="I21" i="19"/>
  <c r="I30" i="19" s="1"/>
  <c r="G30" i="19"/>
  <c r="F42" i="1"/>
  <c r="I41" i="19" l="1"/>
  <c r="I50" i="19" s="1"/>
  <c r="F31" i="1" s="1"/>
  <c r="G50" i="19"/>
  <c r="I19" i="7"/>
  <c r="P19" i="7" s="1"/>
  <c r="I18" i="7"/>
  <c r="P18" i="7" s="1"/>
  <c r="B16" i="1"/>
  <c r="B17" i="8"/>
  <c r="B16" i="8"/>
  <c r="B15" i="8"/>
  <c r="B13" i="8"/>
  <c r="B12" i="8"/>
  <c r="Q22" i="6"/>
  <c r="R22" i="6" s="1"/>
  <c r="Q21" i="6"/>
  <c r="R21" i="6" s="1"/>
  <c r="Q20" i="6"/>
  <c r="R20" i="6" s="1"/>
  <c r="Q19" i="6"/>
  <c r="Q18" i="6"/>
  <c r="Q17" i="6"/>
  <c r="Q16" i="6"/>
  <c r="Q15" i="6"/>
  <c r="R15" i="6" l="1"/>
  <c r="R16" i="6" s="1"/>
  <c r="Q23" i="6"/>
  <c r="G16" i="1"/>
  <c r="G20" i="1"/>
  <c r="H20" i="1" s="1"/>
  <c r="I8" i="1" l="1"/>
  <c r="H42" i="1" l="1"/>
  <c r="I42" i="1" s="1"/>
  <c r="H41" i="1"/>
  <c r="I41" i="1" s="1"/>
  <c r="H40" i="1"/>
  <c r="I40" i="1" s="1"/>
  <c r="H39" i="1"/>
  <c r="I39" i="1" s="1"/>
  <c r="H37" i="1"/>
  <c r="H36" i="1"/>
  <c r="I36" i="1" s="1"/>
  <c r="H33" i="1"/>
  <c r="H31" i="1"/>
  <c r="H30" i="1"/>
  <c r="H29" i="1"/>
  <c r="H28" i="1"/>
  <c r="I20" i="1"/>
  <c r="H19" i="1"/>
  <c r="H18" i="1"/>
  <c r="I18" i="1" s="1"/>
  <c r="H16" i="1"/>
  <c r="I16" i="1" s="1"/>
  <c r="I33" i="1" l="1"/>
  <c r="H32" i="1" s="1"/>
  <c r="I32" i="1" s="1"/>
  <c r="E16" i="8" s="1"/>
  <c r="I37" i="1"/>
  <c r="H35" i="1" s="1"/>
  <c r="I35" i="1" s="1"/>
  <c r="I19" i="1"/>
  <c r="H17" i="1" s="1"/>
  <c r="H15" i="1"/>
  <c r="I15" i="1" s="1"/>
  <c r="H38" i="1"/>
  <c r="I38" i="1" s="1"/>
  <c r="E12" i="8" l="1"/>
  <c r="F29" i="1"/>
  <c r="I29" i="1" s="1"/>
  <c r="I31" i="1"/>
  <c r="I28" i="1"/>
  <c r="I17" i="1"/>
  <c r="E13" i="8" s="1"/>
  <c r="H34" i="1"/>
  <c r="I34" i="1" s="1"/>
  <c r="E17" i="8" s="1"/>
  <c r="I30" i="1" l="1"/>
  <c r="H27" i="1" s="1"/>
  <c r="I27" i="1" l="1"/>
  <c r="I21" i="1" l="1"/>
  <c r="E14" i="8" s="1"/>
  <c r="K27" i="1"/>
  <c r="E15" i="8"/>
  <c r="J12" i="1" l="1"/>
  <c r="J21" i="1" s="1"/>
  <c r="F14" i="8" s="1"/>
  <c r="E19" i="8"/>
  <c r="F15" i="8" s="1"/>
  <c r="J27" i="1" l="1"/>
  <c r="J37" i="1"/>
  <c r="J40" i="1"/>
  <c r="J41" i="1"/>
  <c r="J31" i="1"/>
  <c r="J38" i="1"/>
  <c r="J42" i="1"/>
  <c r="J28" i="1"/>
  <c r="J16" i="1"/>
  <c r="J33" i="1"/>
  <c r="J23" i="1"/>
  <c r="J30" i="1"/>
  <c r="J29" i="1"/>
  <c r="J35" i="1"/>
  <c r="J26" i="1"/>
  <c r="J25" i="1"/>
  <c r="J20" i="1"/>
  <c r="J34" i="1"/>
  <c r="J22" i="1"/>
  <c r="J24" i="1"/>
  <c r="J39" i="1"/>
  <c r="J18" i="1"/>
  <c r="J15" i="1"/>
  <c r="J32" i="1"/>
  <c r="J36" i="1"/>
  <c r="I43" i="1"/>
  <c r="K31" i="26" s="1"/>
  <c r="J19" i="1"/>
  <c r="J17" i="1"/>
  <c r="F12" i="8"/>
  <c r="F16" i="8"/>
  <c r="F17" i="8"/>
  <c r="F13" i="8"/>
  <c r="K43" i="1" l="1"/>
  <c r="K44" i="1" s="1"/>
  <c r="J43" i="1"/>
  <c r="F19" i="8"/>
</calcChain>
</file>

<file path=xl/sharedStrings.xml><?xml version="1.0" encoding="utf-8"?>
<sst xmlns="http://schemas.openxmlformats.org/spreadsheetml/2006/main" count="1148" uniqueCount="445">
  <si>
    <t>Valor Final do Orçamento</t>
  </si>
  <si>
    <t>BDI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</si>
  <si>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</si>
  <si>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</si>
  <si>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</si>
  <si>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</si>
  <si>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</si>
  <si>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</si>
  <si>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</si>
  <si>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</si>
  <si>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</si>
  <si>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</si>
  <si>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</si>
  <si>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 xml:space="preserve">  </t>
  </si>
  <si>
    <t>ADMINISTRAÇÃO LOCAL</t>
  </si>
  <si>
    <t/>
  </si>
  <si>
    <t xml:space="preserve"> 1.1 </t>
  </si>
  <si>
    <t>Próprio</t>
  </si>
  <si>
    <t xml:space="preserve"> 2 </t>
  </si>
  <si>
    <t>SERVIÇOS PRELIMINARES</t>
  </si>
  <si>
    <t xml:space="preserve"> 2.1 </t>
  </si>
  <si>
    <t xml:space="preserve"> 103689 </t>
  </si>
  <si>
    <t>SINAPI</t>
  </si>
  <si>
    <t>FORNECIMENTO E INSTALAÇÃO DE PLACA DE OBRA COM CHAPA GALVANIZADA E ESTRUTURA DE MADEIRA. AF_03/2022_PS</t>
  </si>
  <si>
    <t>m²</t>
  </si>
  <si>
    <t xml:space="preserve"> 2.3 </t>
  </si>
  <si>
    <t xml:space="preserve"> 99064 </t>
  </si>
  <si>
    <t>LOCAÇÃO DE PAVIMENTAÇÃO. AF_10/2018</t>
  </si>
  <si>
    <t>M</t>
  </si>
  <si>
    <t xml:space="preserve"> 2.4 </t>
  </si>
  <si>
    <t>MOBILIZAÇÃO E DESMOBILIZAÇÃO</t>
  </si>
  <si>
    <t>UN</t>
  </si>
  <si>
    <t>SICRO3</t>
  </si>
  <si>
    <t>M3XKM</t>
  </si>
  <si>
    <t>PAVIMENTAÇÃO TSD</t>
  </si>
  <si>
    <t>EXECUÇÃO DE IMPRIMAÇÃO COM ASFALTO DILUÍDO CM-30. AF_11/2019</t>
  </si>
  <si>
    <t>PAVIMENTO COM TRATAMENTO SUPERFICIAL DUPLO, COM EMULSÃO ASFÁLTICA RR-2C, COM CAPA SELANTE. AF_01/2020</t>
  </si>
  <si>
    <t xml:space="preserve"> 95877 </t>
  </si>
  <si>
    <t>TRANSPORTE COM CAMINHÃO BASCULANTE DE 18 M³, EM VIA URBANA PAVIMENTADA, DMT ATÉ 30 KM (UNIDADE: M3XKM). AF_07/2020</t>
  </si>
  <si>
    <t>TXKM</t>
  </si>
  <si>
    <t xml:space="preserve"> 102331 </t>
  </si>
  <si>
    <t>TRANSPORTE COM CAMINHÃO TANQUE DE TRANSPORTE DE MATERIAL ASFÁLTICO DE 30000 L, EM VIA URBANA PAVIMENTADA, ADICIONAL PARA DMT EXCEDENTE A 30 KM (UNIDADE: TXKM). AF_07/2020</t>
  </si>
  <si>
    <t>DRENAGEM SUPERFICIAL</t>
  </si>
  <si>
    <t xml:space="preserve"> 94267 </t>
  </si>
  <si>
    <t>GUIA (MEIO-FIO) E SARJETA CONJUGADOS DE CONCRETO, MOLDADA IN LOCO EM TRECHO RETO COM EXTRUSORA, 45 CM BASE (15 CM BASE DA GUIA + 30 CM BASE DA SARJETA) X 22 CM ALTURA. AF_01/2024</t>
  </si>
  <si>
    <t>SINALIZAÇÃO</t>
  </si>
  <si>
    <t>SINALIZAÇÃO HORIZONTAL</t>
  </si>
  <si>
    <t xml:space="preserve"> 102509 </t>
  </si>
  <si>
    <t>PINTURA DE FAIXA DE PEDESTRE OU ZEBRADA TINTA RETRORREFLETIVA A BASE DE RESINA ACRÍLICA COM MICROESFERAS DE VIDRO, E = 30 CM, APLICAÇÃO MANUAL. AF_05/2021</t>
  </si>
  <si>
    <t xml:space="preserve"> 102512 </t>
  </si>
  <si>
    <t>PINTURA DE EIXO VIÁRIO SOBRE ASFALTO COM TINTA RETRORREFLETIVA A BASE DE RESINA ACRÍLICA COM MICROESFERAS DE VIDRO, E = 10 CM, APLICAÇÃO MECÂNICA COM DEMARCADORA AUTOPROPELIDA. AF_05/2021</t>
  </si>
  <si>
    <t>SINALIZAÇÃO VERTICAL</t>
  </si>
  <si>
    <t xml:space="preserve"> 5213464 </t>
  </si>
  <si>
    <t>Placa de advertência em aço, lado de 0,60 m - película retrorrefletiva tipo I + SI - fornecimento e implantação</t>
  </si>
  <si>
    <t>un</t>
  </si>
  <si>
    <t xml:space="preserve"> 5213440 </t>
  </si>
  <si>
    <t>Placa de regulamentação em aço D = 0,60 m - película retrorrefletiva tipo I + SI - fornecimento e implantação</t>
  </si>
  <si>
    <t xml:space="preserve"> 5213444 </t>
  </si>
  <si>
    <t>Placa de regulamentação em aço, R1 lado 0,248 m - película retrorrefletiva tipo I + SI - fornecimento e implantação</t>
  </si>
  <si>
    <t xml:space="preserve"> 5213863 </t>
  </si>
  <si>
    <t>Suporte metálico galvanizado para placa de advertência ou regulamentação - lado ou diâmetro de 0,60 m - fornecimento e implantação</t>
  </si>
  <si>
    <t>MIN</t>
  </si>
  <si>
    <t>MAX</t>
  </si>
  <si>
    <t>-</t>
  </si>
  <si>
    <t>FONE: (65) 2123-1200  -  FAX: 2123-1251</t>
  </si>
  <si>
    <t>OBRA:</t>
  </si>
  <si>
    <t>PAVIMENTAÇÃO ASFÁLTICA EM TSD</t>
  </si>
  <si>
    <t>LOCAL:</t>
  </si>
  <si>
    <t>RUAS DIVERSAS</t>
  </si>
  <si>
    <t>PROPR.:</t>
  </si>
  <si>
    <t xml:space="preserve">DATA: </t>
  </si>
  <si>
    <t>2.1</t>
  </si>
  <si>
    <t>ORIGEM</t>
  </si>
  <si>
    <t>VELOCIDADE (V)</t>
  </si>
  <si>
    <t>QUANTIDADE</t>
  </si>
  <si>
    <t>CÓDIGO</t>
  </si>
  <si>
    <t>TRATOR DE PNEUS COM ROÇADEIRA A DIESEL - 77 KW</t>
  </si>
  <si>
    <t>TANQUE DE ESTOCAGEM DE ASFALTO COM CAPACIDADE DE 30.000 L</t>
  </si>
  <si>
    <t>CARREGADEIRA DE PNEUS COM CAPACIDADE DE 3,3 M³ - 213 KW</t>
  </si>
  <si>
    <t>ROLO COMPACTADOR DE PNEUS AUTOPROPELIDO DE 27 T - 85 KW</t>
  </si>
  <si>
    <t>DISTRIBUIDOR DE AGREGADOS REBOCÁVEL DE 1,9 M³</t>
  </si>
  <si>
    <t>CAMINHÃO CARROCERIA COM CAPACIDADE DE 15 T - 188 KW</t>
  </si>
  <si>
    <t>Condução por conta própria</t>
  </si>
  <si>
    <t>CAMINHÃO TANQUE DE ASFALTO DE 6.000 L - 136 KW</t>
  </si>
  <si>
    <t>CAMINHÃO BASCULANTE COM CAPACIDADE DE 10 M³ - 210 KW</t>
  </si>
  <si>
    <t>TOTAL</t>
  </si>
  <si>
    <t>01</t>
  </si>
  <si>
    <t>Mobilização e Desmobilização de equipamentos</t>
  </si>
  <si>
    <t>UND</t>
  </si>
  <si>
    <t>COMPOSIÇÃO ANALÍTICA</t>
  </si>
  <si>
    <t>ITEM</t>
  </si>
  <si>
    <t>EQUIPAMENTOS TRANSPORTADO</t>
  </si>
  <si>
    <t>REFERÊNCIA</t>
  </si>
  <si>
    <t>VEÍCULO TRANSPORTADO (DNIT - VOLUME 09)</t>
  </si>
  <si>
    <t>QUANT UND</t>
  </si>
  <si>
    <t>Distância (DM) km</t>
  </si>
  <si>
    <t>Fator K</t>
  </si>
  <si>
    <t>FATOR DE UTILIZAÇÃO (FU)</t>
  </si>
  <si>
    <t>CUSTO DO TRANSPORTE (CH)</t>
  </si>
  <si>
    <t>PREÇO TOTAL (cMob)</t>
  </si>
  <si>
    <t>SICRO E9541</t>
  </si>
  <si>
    <t>SICRO E9665</t>
  </si>
  <si>
    <t>Cavalo mecânico com semirreboque com capacidade de 22 t - 240 Kw</t>
  </si>
  <si>
    <t>SICRO E9577</t>
  </si>
  <si>
    <t>SICRO E9540</t>
  </si>
  <si>
    <t>SICRO E9524</t>
  </si>
  <si>
    <t>SICRO E9511</t>
  </si>
  <si>
    <t>SICRO E9579</t>
  </si>
  <si>
    <t xml:space="preserve">TOTAL </t>
  </si>
  <si>
    <t>IMPERATRIZ-MA</t>
  </si>
  <si>
    <t>SICRO E9592</t>
  </si>
  <si>
    <t>SICRO E9013</t>
  </si>
  <si>
    <t>NÃO DESONERADO</t>
  </si>
  <si>
    <t>COTAÇÃO</t>
  </si>
  <si>
    <t>SERVIÇO</t>
  </si>
  <si>
    <t xml:space="preserve">OBRA: </t>
  </si>
  <si>
    <t>TABELA REFERÊNCIA:</t>
  </si>
  <si>
    <r>
      <t>LOCAL:</t>
    </r>
    <r>
      <rPr>
        <sz val="10"/>
        <rFont val="Arial"/>
        <family val="2"/>
      </rPr>
      <t/>
    </r>
  </si>
  <si>
    <t>PROP.:</t>
  </si>
  <si>
    <t>BDI SERVIÇOS:</t>
  </si>
  <si>
    <t>DATA:</t>
  </si>
  <si>
    <t>ORÇAMENTO ORIENTATIVO DA OBRA</t>
  </si>
  <si>
    <t>INSUMO</t>
  </si>
  <si>
    <t>COMPOSIÇÃO DE PREÇO UNITÁRIO</t>
  </si>
  <si>
    <t>SERVIÇO:</t>
  </si>
  <si>
    <t>ADMINISTRAÇÃO LOCAL DA OBRA</t>
  </si>
  <si>
    <t>UNIDADE:</t>
  </si>
  <si>
    <t>H</t>
  </si>
  <si>
    <t>CÓDIGO:</t>
  </si>
  <si>
    <t>COMP PAV 001</t>
  </si>
  <si>
    <t>PRODUÇÃO DA EQUIPE:</t>
  </si>
  <si>
    <t xml:space="preserve">MÃO-DE-OBRA  </t>
  </si>
  <si>
    <t>Horas/  Dia</t>
  </si>
  <si>
    <t>Dias/  Mês</t>
  </si>
  <si>
    <t>Meses</t>
  </si>
  <si>
    <t>Total  Horas</t>
  </si>
  <si>
    <t>UNIDADE</t>
  </si>
  <si>
    <t>CUSTO</t>
  </si>
  <si>
    <t>HORÁRIO</t>
  </si>
  <si>
    <t>HORÁRIO TOTAL</t>
  </si>
  <si>
    <t>ENGENHEIRO CIVIL DE OBRA JUNIOR COM ENCARGOS COMPLEMENTARES</t>
  </si>
  <si>
    <t>ENCARREGADO GERAL COM ENCARGOS COMPLEMENTARES</t>
  </si>
  <si>
    <t>CUSTO UNITÁRIO TOTAL  :</t>
  </si>
  <si>
    <t>RESUMO DO ORÇAMENTO</t>
  </si>
  <si>
    <t>DESCRIÇÃO DO SERVIÇO</t>
  </si>
  <si>
    <t xml:space="preserve"> TOTAL EXECUÇÃO</t>
  </si>
  <si>
    <t>%</t>
  </si>
  <si>
    <t>1.0</t>
  </si>
  <si>
    <t>2.0</t>
  </si>
  <si>
    <t>3.0</t>
  </si>
  <si>
    <t>4.0</t>
  </si>
  <si>
    <t>5.0</t>
  </si>
  <si>
    <t>11.0</t>
  </si>
  <si>
    <t>DRENAGEM PROFUNDA</t>
  </si>
  <si>
    <t>TOTAL GERAL</t>
  </si>
  <si>
    <t>3.1</t>
  </si>
  <si>
    <t>3.2</t>
  </si>
  <si>
    <t>3.3</t>
  </si>
  <si>
    <t>3.4</t>
  </si>
  <si>
    <t>3.5</t>
  </si>
  <si>
    <t>4.1</t>
  </si>
  <si>
    <t>5.1</t>
  </si>
  <si>
    <t>5.1.1</t>
  </si>
  <si>
    <t>5.1.2</t>
  </si>
  <si>
    <t>5.2</t>
  </si>
  <si>
    <t>5.2.1</t>
  </si>
  <si>
    <t>5.2.2</t>
  </si>
  <si>
    <t>5.2.3</t>
  </si>
  <si>
    <t>5.2.4</t>
  </si>
  <si>
    <t>um</t>
  </si>
  <si>
    <t>PREFEITURA DE SÃO JOÃO DO PARAISO</t>
  </si>
  <si>
    <t>CNPJ: 01.597.629/0001-23</t>
  </si>
  <si>
    <t>Rua do Comercio, 150 – Centro</t>
  </si>
  <si>
    <t>CEP: 65973-000 – São João do Paraiso/MA</t>
  </si>
  <si>
    <t>TOTAL GERAL DO ORÇAMENTO</t>
  </si>
  <si>
    <t>SINAPI (JUNHO/2025)</t>
  </si>
  <si>
    <t xml:space="preserve">QUADRO DE RUAS </t>
  </si>
  <si>
    <t>LOGRADOURO</t>
  </si>
  <si>
    <t>COORDENADAS</t>
  </si>
  <si>
    <t>EXTENSÃO</t>
  </si>
  <si>
    <t>LARGURA</t>
  </si>
  <si>
    <t>ÁREA</t>
  </si>
  <si>
    <t>INICIAL</t>
  </si>
  <si>
    <t>FINAL</t>
  </si>
  <si>
    <t>(m)</t>
  </si>
  <si>
    <t>(m²)</t>
  </si>
  <si>
    <t>RUA E</t>
  </si>
  <si>
    <t>TOTAL &gt;&gt;&gt;</t>
  </si>
  <si>
    <t>TV ALTO PARAISO</t>
  </si>
  <si>
    <t xml:space="preserve">  6°28'9.97"S</t>
  </si>
  <si>
    <t xml:space="preserve"> 47° 3'22.03"O</t>
  </si>
  <si>
    <t xml:space="preserve">  6°28'10.98"S</t>
  </si>
  <si>
    <t xml:space="preserve"> 47° 3'14.25"O</t>
  </si>
  <si>
    <t xml:space="preserve">  6°28'15.68"S</t>
  </si>
  <si>
    <t xml:space="preserve">  6°28'13.25"S</t>
  </si>
  <si>
    <t xml:space="preserve"> 47° 3'15.82"O</t>
  </si>
  <si>
    <t xml:space="preserve">  6°28'12.19"S</t>
  </si>
  <si>
    <t xml:space="preserve">  6°28'10.94"S</t>
  </si>
  <si>
    <t xml:space="preserve"> 47° 3'14.40"O</t>
  </si>
  <si>
    <t xml:space="preserve">  6°28'17.93"S</t>
  </si>
  <si>
    <t xml:space="preserve"> 47° 3'17.96"O</t>
  </si>
  <si>
    <t xml:space="preserve">  6°28'8.55"S</t>
  </si>
  <si>
    <t xml:space="preserve"> 47° 3'7.31"O</t>
  </si>
  <si>
    <t xml:space="preserve">  6°28'13.21"S</t>
  </si>
  <si>
    <t xml:space="preserve"> 47° 3'9.71"O</t>
  </si>
  <si>
    <t xml:space="preserve">  6°28'11.81"S</t>
  </si>
  <si>
    <t xml:space="preserve"> 47° 3'5.51"O</t>
  </si>
  <si>
    <t xml:space="preserve">  6°28'14.63"S</t>
  </si>
  <si>
    <t xml:space="preserve"> 47° 3'6.91"O</t>
  </si>
  <si>
    <t xml:space="preserve">  6°28'12.24"S</t>
  </si>
  <si>
    <t xml:space="preserve"> 47° 3'23.32"O</t>
  </si>
  <si>
    <t xml:space="preserve">  6°28'15.77"S</t>
  </si>
  <si>
    <t xml:space="preserve"> 47° 3'17.10"O</t>
  </si>
  <si>
    <t xml:space="preserve">  6°28'9.16"S</t>
  </si>
  <si>
    <t xml:space="preserve"> 47° 3'17.94"O</t>
  </si>
  <si>
    <t xml:space="preserve">  6°28'13.85"S</t>
  </si>
  <si>
    <t xml:space="preserve"> 47° 3'20.33"O</t>
  </si>
  <si>
    <t xml:space="preserve">  6°28'17.99"S</t>
  </si>
  <si>
    <t xml:space="preserve"> 47° 3'18.01"O</t>
  </si>
  <si>
    <t xml:space="preserve">  6°28'10.93"S</t>
  </si>
  <si>
    <t xml:space="preserve"> 47° 3'14.39"O</t>
  </si>
  <si>
    <t xml:space="preserve">  6°28'8.68"S</t>
  </si>
  <si>
    <t xml:space="preserve"> 47° 3'13.45"O</t>
  </si>
  <si>
    <t xml:space="preserve">  6°28'10.24"S</t>
  </si>
  <si>
    <t xml:space="preserve"> 47° 2'59.80"O</t>
  </si>
  <si>
    <t xml:space="preserve">  6°28'11.72"S</t>
  </si>
  <si>
    <t xml:space="preserve"> 47° 3'3.41"O</t>
  </si>
  <si>
    <t xml:space="preserve">  6°28'13.51"S</t>
  </si>
  <si>
    <t xml:space="preserve"> 47° 2'55.65"O</t>
  </si>
  <si>
    <t xml:space="preserve">  6°28'13.95"S</t>
  </si>
  <si>
    <t xml:space="preserve"> 47° 3'0.49"O</t>
  </si>
  <si>
    <t>RUA MARIA DE LOURDES VIEIRA</t>
  </si>
  <si>
    <t>RUA MIRO HENRIQUE VIEIRA FREIRE</t>
  </si>
  <si>
    <t>RUA CAETÊ</t>
  </si>
  <si>
    <t>AV. EDUARDO VIEIRA</t>
  </si>
  <si>
    <t>TRAVESSA A</t>
  </si>
  <si>
    <t>ALAMEDA DAS GARRINCHAS</t>
  </si>
  <si>
    <t>AV. JUVENTINO CIPRIANO DA EXALTAÇÃO</t>
  </si>
  <si>
    <t>AV. DRº RUI EVANGELISTA DA EXALTAÇÃO</t>
  </si>
  <si>
    <t>RUA MARIA MARTA VIEIRA</t>
  </si>
  <si>
    <t>AV. DIONITA JUVENAL DA EXALTAÇÃO</t>
  </si>
  <si>
    <t>BAIRRO</t>
  </si>
  <si>
    <t>MACIEL</t>
  </si>
  <si>
    <t>DR RUI</t>
  </si>
  <si>
    <t>SOUSA AGUIAR</t>
  </si>
  <si>
    <t xml:space="preserve">ÁREA </t>
  </si>
  <si>
    <t>ÁREA EM PROJETO</t>
  </si>
  <si>
    <t>QUANTITATIVO - SINALIZAÇÃO HORIZONTAL</t>
  </si>
  <si>
    <t>TIPO:</t>
  </si>
  <si>
    <t>LINHA SIMPLES SECCIONADA (LFO-02) - SENTIDO OPOSTO DE CIRCULAÇÃO</t>
  </si>
  <si>
    <t>ESPESSURA</t>
  </si>
  <si>
    <t>EX.:</t>
  </si>
  <si>
    <t>LINHA SIMPLES CONTÍNUA (LFO-01) - SENTIDO OPOSTO DE CIRCULAÇÃO</t>
  </si>
  <si>
    <t>QUANT.</t>
  </si>
  <si>
    <t>(Und)</t>
  </si>
  <si>
    <t>LINHA DE BORDO (LBO)</t>
  </si>
  <si>
    <t>LINHA DE RETENÇÃO (LRE)</t>
  </si>
  <si>
    <t>FAIXA DE TRAVESSIA DE PEDESTRES TIPO ZEBRADA (FTP1)</t>
  </si>
  <si>
    <t>COMPRIMENTO</t>
  </si>
  <si>
    <t>ESPASSAMENTO</t>
  </si>
  <si>
    <t>PARE ESCRITO</t>
  </si>
  <si>
    <t>ÁREA UNIT.</t>
  </si>
  <si>
    <t>ÁREA TOTAL</t>
  </si>
  <si>
    <t>(un)</t>
  </si>
  <si>
    <t>QUANTITATIVO - SINALIZAÇÃO VERTICAL</t>
  </si>
  <si>
    <t>R-1</t>
  </si>
  <si>
    <t>REGULAMENTAÇÃO:</t>
  </si>
  <si>
    <t>PARADA OBRIGATÓRIA</t>
  </si>
  <si>
    <t>R-19</t>
  </si>
  <si>
    <t>VELOCIDADE MÁX. PERMITIDA (40 KM/H)</t>
  </si>
  <si>
    <t>A-32b</t>
  </si>
  <si>
    <t>ADVERTÊNCIA:</t>
  </si>
  <si>
    <t>PASSAGEM SINALIZADA DE PEDESTRES</t>
  </si>
  <si>
    <t>Total de placas &gt;&gt;</t>
  </si>
  <si>
    <t>unidades</t>
  </si>
  <si>
    <t xml:space="preserve">Total de placas &gt;&gt;  </t>
  </si>
  <si>
    <t>PLANILHA PARA CÁCULO DE IMPRIMAÇÃO E CM-30</t>
  </si>
  <si>
    <t xml:space="preserve">ÁREA LIMPA RODAS </t>
  </si>
  <si>
    <t>TAXA DE APLIC.</t>
  </si>
  <si>
    <t>QUANT. CM-30</t>
  </si>
  <si>
    <t>(t/m²)</t>
  </si>
  <si>
    <t>(t)</t>
  </si>
  <si>
    <t>PLANILHA PARA CÁLCULO DE RR-2C</t>
  </si>
  <si>
    <t>QUANT. RR-2C</t>
  </si>
  <si>
    <t>PLANILHA PARA CÁLCULO DE TRANSPORTE DE MATERIAIS DE PAVIMENTAÇÃO</t>
  </si>
  <si>
    <t>TRANSPORTE DE BRITA PARA TSD (TRECHO PAVIMENTADO)</t>
  </si>
  <si>
    <t>QUANT. TRABALHO</t>
  </si>
  <si>
    <t>BRITA 0</t>
  </si>
  <si>
    <t>BRITA 1</t>
  </si>
  <si>
    <t>DMT</t>
  </si>
  <si>
    <t>MOMENTO DE TRANSP*.</t>
  </si>
  <si>
    <t>FATOR</t>
  </si>
  <si>
    <t>(m³)</t>
  </si>
  <si>
    <t>(km)</t>
  </si>
  <si>
    <t xml:space="preserve"> ( m³.km )</t>
  </si>
  <si>
    <t>* Transporte comercial com caminhao basculante 10 m3, em via urbana pavimentada, DMT acima de 30 Km (unidade: m3xkm). af_12/2016</t>
  </si>
  <si>
    <t>PLANILHA PARA CÁLCULO DE TRANPORTE DE MATERIAL BETUMINOSO</t>
  </si>
  <si>
    <t>MUNICÍPIO</t>
  </si>
  <si>
    <t>TRECHO PAVIMENTADO</t>
  </si>
  <si>
    <t>SANTO ANTONIO DO LESTE</t>
  </si>
  <si>
    <t>CM-30</t>
  </si>
  <si>
    <t>F. UTILIZAÇÃO</t>
  </si>
  <si>
    <t>PESO ( t ) A</t>
  </si>
  <si>
    <t>TRANSPORTAR</t>
  </si>
  <si>
    <t>t</t>
  </si>
  <si>
    <t>* Transporte de material asfaltico, com caminhão com capacidade de 30000 l em rodovia pavimentada para distâncias médias de transporte superiores a 100 km. af_02/2016</t>
  </si>
  <si>
    <t>RR-2C</t>
  </si>
  <si>
    <t>MEMÓRIA DE CALCULO - MEIO-FIO E SARJETA</t>
  </si>
  <si>
    <t>LD SEÇÃO 01</t>
  </si>
  <si>
    <t>=</t>
  </si>
  <si>
    <t>LE SEÇÃO 01</t>
  </si>
  <si>
    <t>parcial</t>
  </si>
  <si>
    <t>M2</t>
  </si>
  <si>
    <t>COMP PAV 002</t>
  </si>
  <si>
    <t>COMPONENTES</t>
  </si>
  <si>
    <t>COEFICIENTE</t>
  </si>
  <si>
    <t>HORÁRIO (R$)</t>
  </si>
  <si>
    <t>HORÁRIO TOTAL (R$)</t>
  </si>
  <si>
    <t>VASSOURA MECÂNICA REBOCÁVEL COM ESCOVA CILÍNDRICA, LARGURA ÚTIL DE VARRIMENTO DE 2,44 M - CHP DIURNO. AF_06/2014</t>
  </si>
  <si>
    <t>CHP</t>
  </si>
  <si>
    <t>ANP DEZ/2018</t>
  </si>
  <si>
    <t>ASFALTO DILUIDO DE PETROLEO CM-30</t>
  </si>
  <si>
    <t>KG</t>
  </si>
  <si>
    <t>ESPARGIDOR DE ASFALTO PRESSURIZADO, TANQUE 6 M3 COM ISOLAÇÃO TÉRMICA, AQUECIDO COM 2 MAÇARICOS, COM BARRA ESPARGIDORA 3,60 M, MONTADO SOBRE CAMINHÃO  TOCO, PBT 14.300 KG, POTÊNCIA 185 CV - CHP DIURNO. AF_08/2015</t>
  </si>
  <si>
    <t>SERVENTE COM ENCARGOS COMPLEMENTARES</t>
  </si>
  <si>
    <t>TRATOR DE PNEUS, POTÊNCIA 85 CV, TRAÇÃO 4X4, PESO COM LASTRO DE 4.675 KG - CHP DIURNO. AF_06/2014</t>
  </si>
  <si>
    <t>TRATOR DE PNEUS, POTÊNCIA 85 CV, TRAÇÃO 4X4, PESO COM LASTRO DE 4.675 KG - CHI DIURNO. AF_06/2014</t>
  </si>
  <si>
    <t>CHI</t>
  </si>
  <si>
    <t>ESPARGIDOR DE ASFALTO PRESSURIZADO, TANQUE 6 M3 COM ISOLAÇÃO TÉRMICA, AQUECIDO COM 2 MAÇARICOS, COM BARRA ESPARGIDORA 3,60 M, MONTADO SOBRE CAMINHÃO  TOCO, PBT 14.300 KG, POTÊNCIA 185 CV - CHI DIURNO. AF_08/2015</t>
  </si>
  <si>
    <t>CONSTRUÇÃO DE PAVIMENTO COM TRATAMENTO SUPERFICIAL DUPLO, COM EMULSÃO ASFÁLTICA RR-2C, COM BANHO DILUÍDO. AF_01/2018</t>
  </si>
  <si>
    <t>COMP PAV 003</t>
  </si>
  <si>
    <t>CÓDIGO REFERÊNCIA:                                  (SINAPI FEVEREIRO/2018)</t>
  </si>
  <si>
    <t>PEDRA BRITADA N. 0, OU PEDRISCO (4,8 A 9,5 MM)</t>
  </si>
  <si>
    <t>m³</t>
  </si>
  <si>
    <t>PEDRA BRITADA N. 1 (9,5 a 19 MM)</t>
  </si>
  <si>
    <t>TANQUE DE ASFALTO ESTACIONÁRIO COM SERPENTINA, CAPACIDADE 30.000 L - CHP DIURNO. AF_06/2014</t>
  </si>
  <si>
    <t>EMULSAO ASFALTICA CATIONICA RR-2C PARA USO EM PAVIMENTACAO ASFALTICA</t>
  </si>
  <si>
    <t>Kg</t>
  </si>
  <si>
    <t>CAMINHÃO BASCULANTE 10 M3, TRUCADO, POTÊNCIA 230 CV, INCLUSIVE CAÇAMBA METÁLICA, COM DISTRIBUIDOR DE AGREGADOS ACOPLADO - CHP DIURNO. AF_02/2017</t>
  </si>
  <si>
    <t>TRATOR DE PNEUS COM POTÊNCIA DE 85 CV, TRAÇÃO 4X4, COM VASSOURA MECÂNICA ACOPLADA - CHI DIURNO. AF_02/2017</t>
  </si>
  <si>
    <t>TRATOR DE PNEUS COM POTÊNCIA DE 85 CV, TRAÇÃO 4X4, COM VASSOURA MECÂNICA ACOPLADA - CHP DIURNO. AF_03/2017</t>
  </si>
  <si>
    <t>ROLO COMPACTADOR DE PNEUS, ESTATICO, PRESSAO VARIAVEL, POTENCIA 110 HP, PESO SEM/COM LASTRO 10,8/27 T, LARGURA DE ROLAGEM 2,30 M - CHP DIURNO. AF_06/2017</t>
  </si>
  <si>
    <t>ROLO COMPACTADOR DE PNEUS, ESTATICO, PRESSAO VARIAVEL, POTENCIA 110 HP, PESO SEM/COM LASTRO 10,8/27 T, LARGURA DE ROLAGEM 2,30 M - CHI DIURNO. AF_06/2017</t>
  </si>
  <si>
    <t>% SOBRE MÃO DE OBRA</t>
  </si>
  <si>
    <t>ISS - Repassado pelo município</t>
  </si>
  <si>
    <t>**ISS -  Imposto Sobre Serviços</t>
  </si>
  <si>
    <t>(1-I)</t>
  </si>
  <si>
    <t>( 1 + AC + S + R + G ) ( 1 + DF ) ( 1 + L )</t>
  </si>
  <si>
    <t xml:space="preserve">BDI = </t>
  </si>
  <si>
    <t>CÁLCULO DO BDI</t>
  </si>
  <si>
    <t>Não incidem IRPJ e CSLL na composição de Tributos.</t>
  </si>
  <si>
    <t>VALOR DA OBRA</t>
  </si>
  <si>
    <t xml:space="preserve">TAXA DE BDI A SER APLICADA 
SOBRE O CUSTO DIRETO </t>
  </si>
  <si>
    <t>De acordo com o acórdão 2622/2013  TCU- Critérios de aceitabilidade para lucros e despesas indiretas.</t>
  </si>
  <si>
    <t>**ISS - Repassado pelo município</t>
  </si>
  <si>
    <t>Contribuição Previdenciária - Lei nº 12.546/13</t>
  </si>
  <si>
    <t>PIS</t>
  </si>
  <si>
    <t>COFINS</t>
  </si>
  <si>
    <t>**ISS</t>
  </si>
  <si>
    <t>TRIBUTOS</t>
  </si>
  <si>
    <r>
      <rPr>
        <b/>
        <sz val="10"/>
        <rFont val="Arial"/>
        <family val="2"/>
      </rPr>
      <t>L -</t>
    </r>
    <r>
      <rPr>
        <sz val="10"/>
        <rFont val="Arial"/>
        <family val="2"/>
      </rPr>
      <t xml:space="preserve"> Lucro Operacional</t>
    </r>
  </si>
  <si>
    <t>LUCRO</t>
  </si>
  <si>
    <r>
      <rPr>
        <b/>
        <sz val="10"/>
        <rFont val="Arial"/>
        <family val="2"/>
      </rPr>
      <t>S + G -</t>
    </r>
    <r>
      <rPr>
        <sz val="10"/>
        <rFont val="Arial"/>
        <family val="2"/>
      </rPr>
      <t xml:space="preserve"> Seguros + Garantias</t>
    </r>
  </si>
  <si>
    <t>1.4</t>
  </si>
  <si>
    <r>
      <rPr>
        <b/>
        <sz val="10"/>
        <rFont val="Arial"/>
        <family val="2"/>
      </rPr>
      <t xml:space="preserve">R - </t>
    </r>
    <r>
      <rPr>
        <sz val="10"/>
        <rFont val="Arial"/>
        <family val="2"/>
      </rPr>
      <t>Riscos</t>
    </r>
  </si>
  <si>
    <t>1.3</t>
  </si>
  <si>
    <r>
      <rPr>
        <b/>
        <sz val="10"/>
        <rFont val="Arial"/>
        <family val="2"/>
      </rPr>
      <t>DF -</t>
    </r>
    <r>
      <rPr>
        <sz val="10"/>
        <rFont val="Arial"/>
        <family val="2"/>
      </rPr>
      <t xml:space="preserve"> Custos Financeiras</t>
    </r>
  </si>
  <si>
    <t>1.2</t>
  </si>
  <si>
    <r>
      <rPr>
        <b/>
        <sz val="10"/>
        <rFont val="Arial"/>
        <family val="2"/>
      </rPr>
      <t>AC -</t>
    </r>
    <r>
      <rPr>
        <sz val="10"/>
        <rFont val="Arial"/>
        <family val="2"/>
      </rPr>
      <t xml:space="preserve"> Administração Central</t>
    </r>
  </si>
  <si>
    <t>1.1</t>
  </si>
  <si>
    <t>ADMINISTRAÇÃO DA OBRA</t>
  </si>
  <si>
    <t>( % )</t>
  </si>
  <si>
    <t>PERCENTUAL</t>
  </si>
  <si>
    <t>DISCRIMINAÇÃO</t>
  </si>
  <si>
    <t>BDI - BENEFICIOS E DESPESAS INDIRETAS (SERVIÇOS)</t>
  </si>
  <si>
    <t xml:space="preserve"> ( t.km )</t>
  </si>
  <si>
    <t>3,62+98,84+3,61+3,64+108,21+3,5</t>
  </si>
  <si>
    <t>3,59+98,84+3,64+3,56+108,21+3,74</t>
  </si>
  <si>
    <t>3,41+98,73+3,6+3,54+105,35+3,58</t>
  </si>
  <si>
    <t>3,47+98,51+3,78+3,45+105,32+3,61</t>
  </si>
  <si>
    <t>71,08+72,87+3,69</t>
  </si>
  <si>
    <t>71,07+72,25+3,56</t>
  </si>
  <si>
    <t>63,11+3,53+3,49+74,18+3,87+3,4+75,34+3,62+3,58</t>
  </si>
  <si>
    <t>63,19+73,86+3,58+3,61+75,21+3,64+3,61</t>
  </si>
  <si>
    <t>59,68+4,72+4,71+75,7+6,72+6,82+2,59+44,59+108,04+12,69</t>
  </si>
  <si>
    <t>60,44+76,48+3,37+44,43+36,33+55,94+7,69</t>
  </si>
  <si>
    <t>50,98+3,74+6,79+58,94+76,52+78,52+3,62</t>
  </si>
  <si>
    <t>RUA 02</t>
  </si>
  <si>
    <t>51,49+3,6+6,44+149,71+3,64</t>
  </si>
  <si>
    <t>3,87+61,95+3,61</t>
  </si>
  <si>
    <t>3,63+62,39+3,61</t>
  </si>
  <si>
    <t>6,57+64,3+5,38+73,78+4,94</t>
  </si>
  <si>
    <t>6,93+61,34+84,85+5,55</t>
  </si>
  <si>
    <t>6,77+92,07+5,84</t>
  </si>
  <si>
    <t>6,76+88,81+7,69</t>
  </si>
  <si>
    <t>6,54+6,29+56,5+54,3+51,13+4</t>
  </si>
  <si>
    <t>4,81+38,56+64,44+68,8+2,93</t>
  </si>
  <si>
    <t>2,87+86,18+44,46+8,27+92,43+3,43+3,47+139,18+6,02</t>
  </si>
  <si>
    <t>8,4+142,99+3,78+7,7+92,46+3,65+3,6+139,06+3,82</t>
  </si>
  <si>
    <t>6,52+103,68+3,48</t>
  </si>
  <si>
    <t>7,89+101,59+3,86</t>
  </si>
  <si>
    <t>2,04+2,06+62,87+3,09+3,09+63,31+68,01+3,09</t>
  </si>
  <si>
    <t>1,92+2,14+63,08+63,73+67,24+3,2</t>
  </si>
  <si>
    <t>3,37+92+2,88</t>
  </si>
  <si>
    <t>81,66+3,32</t>
  </si>
  <si>
    <t>ESPARGIDOR DE ASFALTO PRESSURIZADO, TANQUE 6 M3 COM ISOLAÇÃO TÉRMICA, AQUECIDO COM 2 MAÇARICOS, COM BARRA ESPARGIDORA 3,60 M, MONTADO SOBRE CAMINHÃO TOCO, PBT 14.300 KG, POTÊNCIA 185 CV - CHI DIURNO. AF_05/2023</t>
  </si>
  <si>
    <t>ESPARGIDOR DE ASFALTO PRESSURIZADO, TANQUE 6 M3 COM ISOLAÇÃO TÉRMICA, AQUECIDO COM 2 MAÇARICOS, COM BARRA ESPARGIDORA 3,60 M, MONTADO SOBRE CAMINHÃO TOCO, PBT 14.300 KG, POTÊNCIA 185 CV - CHP DIURNO. AF_05/2023</t>
  </si>
  <si>
    <t>CÓDIGO REFERÊNCIA:                                           (SINAPI ABRIL/2021)</t>
  </si>
  <si>
    <t xml:space="preserve">AREIA MEDIA - POSTO JAZIDA/FORNECEDOR (RETIRADO NA JAZIDA, SEM TRANSPORTE)	</t>
  </si>
  <si>
    <t>ANP JUn/2025</t>
  </si>
  <si>
    <t>*Peso específico utilizado para Brita foi de 1,4 t/m³</t>
  </si>
  <si>
    <t>agosto/2025</t>
  </si>
  <si>
    <t>EXTENSÃO TOTAL</t>
  </si>
  <si>
    <t xml:space="preserve">PINTURA DE FAIXA DE PEDESTRE OU ZEBRADA TINTA RETRORREFLETIVA A BASE DE RESINA ACRÍLICA COM MICROESFERAS DE VIDRO, E = 30 CM, APLICAÇÃO MANUAL &gt;&gt;  </t>
  </si>
  <si>
    <t xml:space="preserve">PINTURA DE EIXO VIÁRIO SOBRE ASFALTO COM TINTA RETRORREFLETIVA A BASE DE RESINA ACRÍLICA COM MICROESFERAS DE VIDRO, E = 10 CM, APLICAÇÃO MECÂNICA COM DEMARCADORA AUTOPROPELIDA &gt;&gt;  </t>
  </si>
  <si>
    <t>m</t>
  </si>
  <si>
    <t>COMP PAV 004</t>
  </si>
  <si>
    <t>AGOSTO 2025</t>
  </si>
  <si>
    <t>AGOSTO/2025</t>
  </si>
  <si>
    <t>REGULARIZAÇÃO DO SUBLEITO</t>
  </si>
  <si>
    <t>LARGURA DE SARJETA</t>
  </si>
  <si>
    <t>LARGURA DE MEIO-FIO</t>
  </si>
  <si>
    <t>LARGURA DE MEIO-FIO PARA CANTEIRO</t>
  </si>
  <si>
    <t>LARGURA DE TERRAPLENAGEM</t>
  </si>
  <si>
    <t>ÁREA DE LIMPA RODAS</t>
  </si>
  <si>
    <t>CÁLCULO QUANTITATIVO DE BASE E TRANSPORTE</t>
  </si>
  <si>
    <t>ESPESSURA DA CAMADA</t>
  </si>
  <si>
    <t>VOLUME</t>
  </si>
  <si>
    <t>FATOR EMPOLAMENTO</t>
  </si>
  <si>
    <t>TRANSPORTE PAV.</t>
  </si>
  <si>
    <t>TRANSPORTE Ñ PAV.</t>
  </si>
  <si>
    <t>MOM. DE TRANSP.</t>
  </si>
  <si>
    <t>(m³.km)</t>
  </si>
  <si>
    <t>¹ Transporte com caminhao basculante 18 m3, em via urbana pavimentada</t>
  </si>
  <si>
    <t xml:space="preserve">² Transporte com caminhao basculante 18 m3, em via urbana em leito natural </t>
  </si>
  <si>
    <t>TERRAPLANAGEM</t>
  </si>
  <si>
    <t>REGULARIZAÇÃO E COMPACTAÇÃO DE SUBLEITO DE SOLO PREDOMINANTEMENTE ARGILOSO, PARA OBRAS DE CONSTRUÇÃO DE PAVIMENTOS. AF_09/2024</t>
  </si>
  <si>
    <t>TRANSPORTE COM CAMINHÃO BASCULANTE DE 18 M³, EM VIA URBANA EM REVESTIMENTO PRIMÁRIO (UNIDADE: M3XKM). AF_07/2020</t>
  </si>
  <si>
    <t>ESCAVAÇÃO HORIZONTAL, INCLUINDO CARGA E DESCARGA EM SOLO DE 1A CATEGORIA COM TRATOR DE ESTEIRAS (170HP/LÂMINA: 5,20M3). AF_07/2020</t>
  </si>
  <si>
    <t>CONSTRUÇÃO DE BASE E SUB-BASE PARA PAVIMENTAÇÃO DE SOLO ESTABILIZADO GRANULOMETRICAMENTE SEM MISTURA DE SOLOS - EXCLUSIVE SOLO, ESCAVAÇÃO, CARGA E TRANSPORTE. AF_09/2024</t>
  </si>
  <si>
    <t>* Valores das emulsões asfálticas coletados de cotação com a Disbral</t>
  </si>
  <si>
    <t>* Valores das britas coletados de cotação com a Pedreira São Francisco</t>
  </si>
  <si>
    <t>4.2</t>
  </si>
  <si>
    <t>4.3</t>
  </si>
  <si>
    <t>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</si>
</sst>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_-&quot;R$ &quot;* #,##0.00_-;&quot;-R$ &quot;* #,##0.00_-;_-&quot;R$ &quot;* \-??_-;_-@"/>
    <numFmt numFmtId="166" formatCode="0.0000"/>
    <numFmt numFmtId="167" formatCode="#,##0.00\ "/>
    <numFmt numFmtId="168" formatCode="&quot;R$ &quot;#,##0.00"/>
    <numFmt numFmtId="169" formatCode="_-* #,##0.000_-;\-* #,##0.000_-;_-* &quot;-&quot;??_-;_-@_-"/>
    <numFmt numFmtId="170" formatCode="#,###\ &quot;dias&quot;"/>
    <numFmt numFmtId="171" formatCode="0.00000"/>
    <numFmt numFmtId="172" formatCode="#,##0.000"/>
    <numFmt numFmtId="173" formatCode="0.000"/>
    <numFmt numFmtId="174" formatCode="_(* #,##0.00_);_(* \(#,##0.00\);_(* &quot;-&quot;??_);_(@_)"/>
    <numFmt numFmtId="175" formatCode="#,##0.00000\ "/>
    <numFmt numFmtId="176" formatCode="0.000000"/>
    <numFmt numFmtId="177" formatCode="_(&quot;R$ &quot;* #,##0.00_);_(&quot;R$ &quot;* \(#,##0.00\);_(&quot;R$ &quot;* &quot;-&quot;??_);_(@_)"/>
  </numFmts>
  <fonts count="64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FFFFFF"/>
      <name val="Arial Black"/>
      <family val="2"/>
    </font>
    <font>
      <sz val="11"/>
      <color theme="1"/>
      <name val="Cambria"/>
      <family val="1"/>
    </font>
    <font>
      <sz val="9"/>
      <name val="Calibri"/>
      <family val="2"/>
    </font>
    <font>
      <b/>
      <sz val="12"/>
      <color rgb="FF000000"/>
      <name val="Calibri"/>
      <family val="2"/>
    </font>
    <font>
      <b/>
      <sz val="14"/>
      <name val="Calibri Light"/>
      <family val="1"/>
      <scheme val="major"/>
    </font>
    <font>
      <b/>
      <sz val="12"/>
      <name val="Calibri Light"/>
      <family val="1"/>
      <scheme val="major"/>
    </font>
    <font>
      <sz val="9"/>
      <name val="Calibri Light"/>
      <family val="1"/>
      <scheme val="major"/>
    </font>
    <font>
      <b/>
      <sz val="14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8"/>
      <name val="Calibri Light"/>
      <family val="1"/>
      <scheme val="major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1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 tint="-0.14999847407452621"/>
      <name val="Arial"/>
      <family val="1"/>
    </font>
    <font>
      <b/>
      <sz val="10"/>
      <color theme="0" tint="-4.9989318521683403E-2"/>
      <name val="Arial"/>
      <family val="1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0"/>
      <color indexed="50"/>
      <name val="Arial"/>
      <family val="2"/>
    </font>
    <font>
      <sz val="14"/>
      <name val="Arial"/>
      <family val="2"/>
    </font>
    <font>
      <sz val="4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rgb="FF548235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rgb="FFA9D18E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B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ECF6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4.9989318521683403E-2"/>
        <bgColor rgb="FFD8ECF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9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hair">
        <color indexed="64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hair">
        <color indexed="64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hair">
        <color indexed="64"/>
      </right>
      <top/>
      <bottom style="hair">
        <color indexed="64"/>
      </bottom>
      <diagonal/>
    </border>
    <border>
      <left style="medium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indexed="64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theme="0" tint="-0.499984740745262"/>
      </left>
      <right style="hair">
        <color indexed="64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hair">
        <color indexed="64"/>
      </bottom>
      <diagonal/>
    </border>
    <border>
      <left/>
      <right/>
      <top style="medium">
        <color theme="0" tint="-0.499984740745262"/>
      </top>
      <bottom style="hair">
        <color indexed="64"/>
      </bottom>
      <diagonal/>
    </border>
    <border>
      <left/>
      <right style="hair">
        <color indexed="64"/>
      </right>
      <top style="medium">
        <color theme="0" tint="-0.499984740745262"/>
      </top>
      <bottom style="hair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17"/>
      </left>
      <right style="double">
        <color indexed="17"/>
      </right>
      <top/>
      <bottom style="double">
        <color indexed="17"/>
      </bottom>
      <diagonal/>
    </border>
    <border>
      <left style="double">
        <color indexed="17"/>
      </left>
      <right style="double">
        <color indexed="17"/>
      </right>
      <top/>
      <bottom/>
      <diagonal/>
    </border>
    <border>
      <left/>
      <right style="double">
        <color indexed="17"/>
      </right>
      <top/>
      <bottom/>
      <diagonal/>
    </border>
    <border>
      <left style="double">
        <color indexed="17"/>
      </left>
      <right style="double">
        <color indexed="17"/>
      </right>
      <top style="double">
        <color indexed="17"/>
      </top>
      <bottom/>
      <diagonal/>
    </border>
    <border>
      <left/>
      <right/>
      <top/>
      <bottom style="double">
        <color indexed="17"/>
      </bottom>
      <diagonal/>
    </border>
  </borders>
  <cellStyleXfs count="22">
    <xf numFmtId="0" fontId="0" fillId="0" borderId="0"/>
    <xf numFmtId="0" fontId="24" fillId="0" borderId="0"/>
    <xf numFmtId="0" fontId="5" fillId="0" borderId="0"/>
    <xf numFmtId="0" fontId="24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9" fontId="5" fillId="0" borderId="0" applyFont="0" applyFill="0" applyBorder="0" applyAlignment="0" applyProtection="0"/>
    <xf numFmtId="0" fontId="24" fillId="0" borderId="0"/>
    <xf numFmtId="0" fontId="4" fillId="0" borderId="0"/>
    <xf numFmtId="9" fontId="21" fillId="0" borderId="0" applyFont="0" applyFill="0" applyBorder="0" applyAlignment="0" applyProtection="0"/>
    <xf numFmtId="0" fontId="3" fillId="0" borderId="0"/>
    <xf numFmtId="174" fontId="24" fillId="0" borderId="0" applyFont="0" applyFill="0" applyBorder="0" applyAlignment="0" applyProtection="0"/>
    <xf numFmtId="0" fontId="24" fillId="0" borderId="0"/>
    <xf numFmtId="177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7" fillId="0" borderId="0"/>
    <xf numFmtId="0" fontId="24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0" borderId="0"/>
  </cellStyleXfs>
  <cellXfs count="645">
    <xf numFmtId="0" fontId="0" fillId="0" borderId="0" xfId="0"/>
    <xf numFmtId="0" fontId="18" fillId="2" borderId="0" xfId="0" applyFont="1" applyFill="1" applyAlignment="1">
      <alignment horizontal="left" vertical="top" wrapText="1"/>
    </xf>
    <xf numFmtId="4" fontId="19" fillId="3" borderId="0" xfId="0" applyNumberFormat="1" applyFont="1" applyFill="1" applyAlignment="1">
      <alignment horizontal="right" vertical="top" wrapText="1"/>
    </xf>
    <xf numFmtId="164" fontId="20" fillId="4" borderId="0" xfId="0" applyNumberFormat="1" applyFont="1" applyFill="1" applyAlignment="1">
      <alignment horizontal="right" vertical="top" wrapText="1"/>
    </xf>
    <xf numFmtId="0" fontId="5" fillId="0" borderId="0" xfId="2" applyProtection="1">
      <protection locked="0"/>
    </xf>
    <xf numFmtId="0" fontId="24" fillId="5" borderId="2" xfId="3" applyFill="1" applyBorder="1" applyAlignment="1">
      <alignment horizontal="left" vertical="center"/>
    </xf>
    <xf numFmtId="0" fontId="24" fillId="5" borderId="4" xfId="3" applyFill="1" applyBorder="1" applyAlignment="1">
      <alignment horizontal="left" vertical="center"/>
    </xf>
    <xf numFmtId="0" fontId="24" fillId="5" borderId="6" xfId="3" applyFill="1" applyBorder="1" applyAlignment="1">
      <alignment horizontal="left" vertical="center"/>
    </xf>
    <xf numFmtId="1" fontId="32" fillId="0" borderId="0" xfId="4" applyNumberFormat="1" applyFont="1" applyAlignment="1">
      <alignment horizontal="right" vertical="top"/>
    </xf>
    <xf numFmtId="0" fontId="32" fillId="0" borderId="0" xfId="4" applyFont="1"/>
    <xf numFmtId="2" fontId="32" fillId="0" borderId="0" xfId="4" applyNumberFormat="1" applyFont="1" applyAlignment="1">
      <alignment horizontal="center" vertical="top"/>
    </xf>
    <xf numFmtId="0" fontId="31" fillId="0" borderId="0" xfId="4"/>
    <xf numFmtId="2" fontId="32" fillId="0" borderId="0" xfId="4" applyNumberFormat="1" applyFont="1" applyAlignment="1">
      <alignment horizontal="right" vertical="top"/>
    </xf>
    <xf numFmtId="0" fontId="35" fillId="0" borderId="13" xfId="4" applyFont="1" applyBorder="1"/>
    <xf numFmtId="1" fontId="32" fillId="0" borderId="16" xfId="4" applyNumberFormat="1" applyFont="1" applyBorder="1" applyAlignment="1">
      <alignment horizontal="center" vertical="center"/>
    </xf>
    <xf numFmtId="0" fontId="32" fillId="0" borderId="16" xfId="4" applyFont="1" applyBorder="1" applyAlignment="1">
      <alignment horizontal="left" vertical="center"/>
    </xf>
    <xf numFmtId="0" fontId="36" fillId="0" borderId="16" xfId="4" applyFont="1" applyBorder="1" applyAlignment="1">
      <alignment vertical="center"/>
    </xf>
    <xf numFmtId="2" fontId="36" fillId="0" borderId="16" xfId="4" applyNumberFormat="1" applyFont="1" applyBorder="1" applyAlignment="1">
      <alignment horizontal="center" vertical="center" wrapText="1"/>
    </xf>
    <xf numFmtId="2" fontId="36" fillId="0" borderId="16" xfId="4" applyNumberFormat="1" applyFont="1" applyBorder="1" applyAlignment="1">
      <alignment horizontal="center" vertical="center"/>
    </xf>
    <xf numFmtId="165" fontId="32" fillId="0" borderId="16" xfId="4" applyNumberFormat="1" applyFont="1" applyBorder="1" applyAlignment="1">
      <alignment horizontal="center" vertical="center"/>
    </xf>
    <xf numFmtId="0" fontId="36" fillId="0" borderId="16" xfId="4" applyFont="1" applyBorder="1" applyAlignment="1">
      <alignment horizontal="center" vertical="center"/>
    </xf>
    <xf numFmtId="49" fontId="34" fillId="7" borderId="11" xfId="4" applyNumberFormat="1" applyFont="1" applyFill="1" applyBorder="1" applyAlignment="1">
      <alignment horizontal="center" vertical="top"/>
    </xf>
    <xf numFmtId="165" fontId="37" fillId="11" borderId="0" xfId="4" applyNumberFormat="1" applyFont="1" applyFill="1"/>
    <xf numFmtId="0" fontId="34" fillId="7" borderId="14" xfId="4" applyFont="1" applyFill="1" applyBorder="1" applyAlignment="1">
      <alignment vertical="top"/>
    </xf>
    <xf numFmtId="0" fontId="24" fillId="5" borderId="0" xfId="3" applyFill="1" applyAlignment="1">
      <alignment horizontal="left" vertical="center"/>
    </xf>
    <xf numFmtId="0" fontId="22" fillId="0" borderId="0" xfId="2" applyFont="1" applyAlignment="1" applyProtection="1">
      <alignment vertical="center"/>
      <protection locked="0"/>
    </xf>
    <xf numFmtId="49" fontId="22" fillId="0" borderId="0" xfId="2" applyNumberFormat="1" applyFont="1" applyAlignment="1" applyProtection="1">
      <alignment vertical="center"/>
      <protection locked="0"/>
    </xf>
    <xf numFmtId="0" fontId="29" fillId="5" borderId="2" xfId="5" applyFont="1" applyFill="1" applyBorder="1" applyAlignment="1">
      <alignment vertical="center"/>
    </xf>
    <xf numFmtId="0" fontId="28" fillId="6" borderId="1" xfId="6" applyFont="1" applyFill="1" applyBorder="1" applyAlignment="1">
      <alignment horizontal="left" vertical="center"/>
    </xf>
    <xf numFmtId="0" fontId="23" fillId="6" borderId="0" xfId="0" applyFont="1" applyFill="1"/>
    <xf numFmtId="0" fontId="28" fillId="6" borderId="1" xfId="6" applyFont="1" applyFill="1" applyBorder="1" applyAlignment="1">
      <alignment vertical="center"/>
    </xf>
    <xf numFmtId="0" fontId="23" fillId="6" borderId="1" xfId="0" applyFont="1" applyFill="1" applyBorder="1"/>
    <xf numFmtId="0" fontId="29" fillId="5" borderId="4" xfId="5" applyFont="1" applyFill="1" applyBorder="1" applyAlignment="1">
      <alignment vertical="center"/>
    </xf>
    <xf numFmtId="0" fontId="28" fillId="6" borderId="0" xfId="5" applyFont="1" applyFill="1" applyAlignment="1">
      <alignment horizontal="left" vertical="center"/>
    </xf>
    <xf numFmtId="0" fontId="28" fillId="6" borderId="0" xfId="5" applyFont="1" applyFill="1" applyAlignment="1">
      <alignment vertical="center"/>
    </xf>
    <xf numFmtId="0" fontId="29" fillId="5" borderId="6" xfId="5" applyFont="1" applyFill="1" applyBorder="1" applyAlignment="1">
      <alignment vertical="center"/>
    </xf>
    <xf numFmtId="49" fontId="28" fillId="6" borderId="7" xfId="5" applyNumberFormat="1" applyFont="1" applyFill="1" applyBorder="1" applyAlignment="1">
      <alignment horizontal="left" vertical="center"/>
    </xf>
    <xf numFmtId="0" fontId="28" fillId="6" borderId="7" xfId="5" applyFont="1" applyFill="1" applyBorder="1" applyAlignment="1">
      <alignment vertical="center"/>
    </xf>
    <xf numFmtId="0" fontId="23" fillId="6" borderId="7" xfId="0" applyFont="1" applyFill="1" applyBorder="1"/>
    <xf numFmtId="0" fontId="24" fillId="0" borderId="0" xfId="7" applyAlignment="1">
      <alignment vertical="center"/>
    </xf>
    <xf numFmtId="0" fontId="24" fillId="0" borderId="26" xfId="7" applyBorder="1" applyAlignment="1">
      <alignment vertical="center"/>
    </xf>
    <xf numFmtId="167" fontId="24" fillId="0" borderId="0" xfId="7" applyNumberFormat="1" applyAlignment="1">
      <alignment vertical="center"/>
    </xf>
    <xf numFmtId="0" fontId="24" fillId="0" borderId="27" xfId="7" applyBorder="1" applyAlignment="1">
      <alignment vertical="center"/>
    </xf>
    <xf numFmtId="0" fontId="24" fillId="0" borderId="28" xfId="7" applyBorder="1" applyAlignment="1">
      <alignment vertical="center"/>
    </xf>
    <xf numFmtId="0" fontId="24" fillId="0" borderId="7" xfId="7" applyBorder="1" applyAlignment="1">
      <alignment vertical="center"/>
    </xf>
    <xf numFmtId="167" fontId="24" fillId="0" borderId="7" xfId="7" applyNumberFormat="1" applyBorder="1" applyAlignment="1">
      <alignment vertical="center"/>
    </xf>
    <xf numFmtId="0" fontId="24" fillId="0" borderId="29" xfId="7" applyBorder="1" applyAlignment="1">
      <alignment vertical="center"/>
    </xf>
    <xf numFmtId="167" fontId="26" fillId="0" borderId="26" xfId="7" applyNumberFormat="1" applyFont="1" applyBorder="1" applyAlignment="1">
      <alignment horizontal="center" vertical="center"/>
    </xf>
    <xf numFmtId="167" fontId="26" fillId="0" borderId="0" xfId="7" applyNumberFormat="1" applyFont="1" applyAlignment="1">
      <alignment horizontal="center" vertical="center"/>
    </xf>
    <xf numFmtId="167" fontId="26" fillId="0" borderId="1" xfId="7" applyNumberFormat="1" applyFont="1" applyBorder="1" applyAlignment="1">
      <alignment horizontal="center" vertical="center"/>
    </xf>
    <xf numFmtId="0" fontId="25" fillId="0" borderId="33" xfId="7" applyFont="1" applyBorder="1" applyAlignment="1">
      <alignment vertical="center"/>
    </xf>
    <xf numFmtId="0" fontId="25" fillId="0" borderId="37" xfId="7" applyFont="1" applyBorder="1" applyAlignment="1">
      <alignment horizontal="center" vertical="center"/>
    </xf>
    <xf numFmtId="0" fontId="25" fillId="0" borderId="43" xfId="7" applyFont="1" applyBorder="1" applyAlignment="1">
      <alignment vertical="top"/>
    </xf>
    <xf numFmtId="0" fontId="25" fillId="0" borderId="0" xfId="7" applyFont="1" applyAlignment="1">
      <alignment vertical="center"/>
    </xf>
    <xf numFmtId="1" fontId="42" fillId="6" borderId="44" xfId="7" applyNumberFormat="1" applyFont="1" applyFill="1" applyBorder="1" applyAlignment="1">
      <alignment vertical="center"/>
    </xf>
    <xf numFmtId="1" fontId="42" fillId="6" borderId="45" xfId="7" applyNumberFormat="1" applyFont="1" applyFill="1" applyBorder="1" applyAlignment="1">
      <alignment vertical="center" wrapText="1"/>
    </xf>
    <xf numFmtId="1" fontId="42" fillId="6" borderId="46" xfId="7" applyNumberFormat="1" applyFont="1" applyFill="1" applyBorder="1" applyAlignment="1">
      <alignment vertical="center" wrapText="1"/>
    </xf>
    <xf numFmtId="0" fontId="25" fillId="0" borderId="47" xfId="7" applyFont="1" applyBorder="1" applyAlignment="1">
      <alignment vertical="center"/>
    </xf>
    <xf numFmtId="0" fontId="25" fillId="0" borderId="48" xfId="7" applyFont="1" applyBorder="1" applyAlignment="1">
      <alignment horizontal="left" vertical="top"/>
    </xf>
    <xf numFmtId="0" fontId="25" fillId="0" borderId="49" xfId="7" applyFont="1" applyBorder="1" applyAlignment="1">
      <alignment vertical="center"/>
    </xf>
    <xf numFmtId="167" fontId="24" fillId="6" borderId="50" xfId="7" applyNumberFormat="1" applyFill="1" applyBorder="1" applyAlignment="1">
      <alignment horizontal="center" vertical="center"/>
    </xf>
    <xf numFmtId="0" fontId="25" fillId="0" borderId="51" xfId="7" applyFont="1" applyBorder="1" applyAlignment="1">
      <alignment horizontal="center" vertical="center"/>
    </xf>
    <xf numFmtId="167" fontId="43" fillId="0" borderId="3" xfId="7" applyNumberFormat="1" applyFont="1" applyBorder="1" applyAlignment="1">
      <alignment horizontal="center" vertical="center"/>
    </xf>
    <xf numFmtId="167" fontId="43" fillId="0" borderId="1" xfId="7" applyNumberFormat="1" applyFont="1" applyBorder="1" applyAlignment="1">
      <alignment horizontal="centerContinuous" vertical="center"/>
    </xf>
    <xf numFmtId="167" fontId="43" fillId="0" borderId="3" xfId="7" applyNumberFormat="1" applyFont="1" applyBorder="1" applyAlignment="1">
      <alignment horizontal="centerContinuous" vertical="center"/>
    </xf>
    <xf numFmtId="167" fontId="43" fillId="0" borderId="7" xfId="7" applyNumberFormat="1" applyFont="1" applyBorder="1" applyAlignment="1">
      <alignment horizontal="centerContinuous" vertical="center"/>
    </xf>
    <xf numFmtId="167" fontId="43" fillId="0" borderId="8" xfId="7" applyNumberFormat="1" applyFont="1" applyBorder="1" applyAlignment="1">
      <alignment horizontal="centerContinuous" vertical="center"/>
    </xf>
    <xf numFmtId="167" fontId="43" fillId="0" borderId="53" xfId="7" applyNumberFormat="1" applyFont="1" applyBorder="1" applyAlignment="1">
      <alignment horizontal="center" vertical="center"/>
    </xf>
    <xf numFmtId="0" fontId="27" fillId="6" borderId="2" xfId="7" applyFont="1" applyFill="1" applyBorder="1" applyAlignment="1">
      <alignment horizontal="center" vertical="center"/>
    </xf>
    <xf numFmtId="0" fontId="27" fillId="0" borderId="3" xfId="7" applyFont="1" applyBorder="1" applyAlignment="1">
      <alignment horizontal="center" vertical="center"/>
    </xf>
    <xf numFmtId="0" fontId="27" fillId="0" borderId="2" xfId="7" applyFont="1" applyBorder="1" applyAlignment="1">
      <alignment vertical="center" wrapText="1"/>
    </xf>
    <xf numFmtId="0" fontId="27" fillId="0" borderId="3" xfId="7" applyFont="1" applyBorder="1" applyAlignment="1">
      <alignment vertical="center"/>
    </xf>
    <xf numFmtId="4" fontId="27" fillId="6" borderId="3" xfId="7" applyNumberFormat="1" applyFont="1" applyFill="1" applyBorder="1" applyAlignment="1">
      <alignment horizontal="center" vertical="center"/>
    </xf>
    <xf numFmtId="4" fontId="27" fillId="0" borderId="52" xfId="7" applyNumberFormat="1" applyFont="1" applyBorder="1" applyAlignment="1">
      <alignment horizontal="center" vertical="center"/>
    </xf>
    <xf numFmtId="4" fontId="27" fillId="0" borderId="54" xfId="7" applyNumberFormat="1" applyFont="1" applyBorder="1" applyAlignment="1">
      <alignment vertical="center"/>
    </xf>
    <xf numFmtId="0" fontId="27" fillId="6" borderId="4" xfId="7" applyFont="1" applyFill="1" applyBorder="1" applyAlignment="1">
      <alignment horizontal="center" vertical="center"/>
    </xf>
    <xf numFmtId="0" fontId="27" fillId="0" borderId="5" xfId="7" applyFont="1" applyBorder="1" applyAlignment="1">
      <alignment horizontal="center" vertical="center"/>
    </xf>
    <xf numFmtId="0" fontId="27" fillId="0" borderId="4" xfId="7" applyFont="1" applyBorder="1" applyAlignment="1">
      <alignment vertical="center" wrapText="1"/>
    </xf>
    <xf numFmtId="0" fontId="27" fillId="0" borderId="5" xfId="7" applyFont="1" applyBorder="1" applyAlignment="1">
      <alignment vertical="center"/>
    </xf>
    <xf numFmtId="4" fontId="27" fillId="6" borderId="5" xfId="7" applyNumberFormat="1" applyFont="1" applyFill="1" applyBorder="1" applyAlignment="1">
      <alignment horizontal="center" vertical="center"/>
    </xf>
    <xf numFmtId="4" fontId="27" fillId="0" borderId="5" xfId="7" applyNumberFormat="1" applyFont="1" applyBorder="1" applyAlignment="1">
      <alignment horizontal="center" vertical="center"/>
    </xf>
    <xf numFmtId="0" fontId="27" fillId="6" borderId="6" xfId="7" applyFont="1" applyFill="1" applyBorder="1" applyAlignment="1">
      <alignment horizontal="center" vertical="center"/>
    </xf>
    <xf numFmtId="0" fontId="27" fillId="0" borderId="8" xfId="7" applyFont="1" applyBorder="1" applyAlignment="1">
      <alignment vertical="center"/>
    </xf>
    <xf numFmtId="0" fontId="27" fillId="0" borderId="6" xfId="7" applyFont="1" applyBorder="1" applyAlignment="1">
      <alignment vertical="center" wrapText="1"/>
    </xf>
    <xf numFmtId="4" fontId="27" fillId="6" borderId="8" xfId="7" applyNumberFormat="1" applyFont="1" applyFill="1" applyBorder="1" applyAlignment="1">
      <alignment horizontal="center" vertical="center"/>
    </xf>
    <xf numFmtId="4" fontId="27" fillId="0" borderId="8" xfId="7" applyNumberFormat="1" applyFont="1" applyBorder="1" applyAlignment="1">
      <alignment horizontal="center" vertical="center"/>
    </xf>
    <xf numFmtId="4" fontId="27" fillId="0" borderId="53" xfId="7" applyNumberFormat="1" applyFont="1" applyBorder="1" applyAlignment="1">
      <alignment vertical="center"/>
    </xf>
    <xf numFmtId="0" fontId="24" fillId="0" borderId="55" xfId="7" applyBorder="1" applyAlignment="1">
      <alignment vertical="center"/>
    </xf>
    <xf numFmtId="0" fontId="27" fillId="0" borderId="56" xfId="7" applyFont="1" applyBorder="1" applyAlignment="1">
      <alignment vertical="center"/>
    </xf>
    <xf numFmtId="0" fontId="27" fillId="0" borderId="57" xfId="7" applyFont="1" applyBorder="1" applyAlignment="1">
      <alignment vertical="center"/>
    </xf>
    <xf numFmtId="167" fontId="43" fillId="0" borderId="57" xfId="7" applyNumberFormat="1" applyFont="1" applyBorder="1" applyAlignment="1">
      <alignment vertical="center"/>
    </xf>
    <xf numFmtId="167" fontId="27" fillId="0" borderId="57" xfId="7" applyNumberFormat="1" applyFont="1" applyBorder="1" applyAlignment="1">
      <alignment vertical="center"/>
    </xf>
    <xf numFmtId="167" fontId="27" fillId="0" borderId="58" xfId="7" applyNumberFormat="1" applyFont="1" applyBorder="1" applyAlignment="1">
      <alignment vertical="center"/>
    </xf>
    <xf numFmtId="167" fontId="43" fillId="0" borderId="59" xfId="7" applyNumberFormat="1" applyFont="1" applyBorder="1" applyAlignment="1">
      <alignment vertical="center"/>
    </xf>
    <xf numFmtId="0" fontId="24" fillId="0" borderId="60" xfId="7" applyBorder="1" applyAlignment="1">
      <alignment vertical="center"/>
    </xf>
    <xf numFmtId="0" fontId="44" fillId="0" borderId="0" xfId="7" applyFont="1" applyAlignment="1">
      <alignment vertical="center"/>
    </xf>
    <xf numFmtId="167" fontId="44" fillId="0" borderId="0" xfId="7" applyNumberFormat="1" applyFont="1" applyAlignment="1">
      <alignment vertical="center"/>
    </xf>
    <xf numFmtId="0" fontId="23" fillId="0" borderId="0" xfId="2" applyFont="1"/>
    <xf numFmtId="0" fontId="47" fillId="12" borderId="21" xfId="1" applyFont="1" applyFill="1" applyBorder="1" applyAlignment="1">
      <alignment horizontal="center" vertical="center"/>
    </xf>
    <xf numFmtId="168" fontId="48" fillId="12" borderId="31" xfId="1" applyNumberFormat="1" applyFont="1" applyFill="1" applyBorder="1" applyAlignment="1">
      <alignment horizontal="center" vertical="center"/>
    </xf>
    <xf numFmtId="0" fontId="48" fillId="12" borderId="9" xfId="1" applyFont="1" applyFill="1" applyBorder="1" applyAlignment="1">
      <alignment horizontal="center" vertical="center"/>
    </xf>
    <xf numFmtId="0" fontId="49" fillId="0" borderId="61" xfId="1" applyFont="1" applyBorder="1" applyAlignment="1">
      <alignment horizontal="center" vertical="center"/>
    </xf>
    <xf numFmtId="0" fontId="49" fillId="0" borderId="62" xfId="1" applyFont="1" applyBorder="1" applyAlignment="1">
      <alignment horizontal="left" vertical="center"/>
    </xf>
    <xf numFmtId="0" fontId="49" fillId="0" borderId="63" xfId="1" applyFont="1" applyBorder="1" applyAlignment="1">
      <alignment horizontal="left" vertical="center"/>
    </xf>
    <xf numFmtId="0" fontId="49" fillId="0" borderId="64" xfId="1" applyFont="1" applyBorder="1" applyAlignment="1">
      <alignment horizontal="left" vertical="center"/>
    </xf>
    <xf numFmtId="4" fontId="49" fillId="0" borderId="61" xfId="1" applyNumberFormat="1" applyFont="1" applyBorder="1" applyAlignment="1">
      <alignment horizontal="center" vertical="center"/>
    </xf>
    <xf numFmtId="10" fontId="49" fillId="0" borderId="61" xfId="1" applyNumberFormat="1" applyFont="1" applyBorder="1" applyAlignment="1">
      <alignment horizontal="center" vertical="center"/>
    </xf>
    <xf numFmtId="0" fontId="49" fillId="0" borderId="65" xfId="1" applyFont="1" applyBorder="1" applyAlignment="1">
      <alignment horizontal="center" vertical="center"/>
    </xf>
    <xf numFmtId="0" fontId="49" fillId="0" borderId="66" xfId="1" applyFont="1" applyBorder="1" applyAlignment="1">
      <alignment horizontal="left" vertical="center"/>
    </xf>
    <xf numFmtId="0" fontId="49" fillId="0" borderId="67" xfId="1" applyFont="1" applyBorder="1" applyAlignment="1">
      <alignment horizontal="left" vertical="center"/>
    </xf>
    <xf numFmtId="4" fontId="49" fillId="0" borderId="65" xfId="1" applyNumberFormat="1" applyFont="1" applyBorder="1" applyAlignment="1">
      <alignment horizontal="center" vertical="center"/>
    </xf>
    <xf numFmtId="4" fontId="48" fillId="12" borderId="9" xfId="1" applyNumberFormat="1" applyFont="1" applyFill="1" applyBorder="1" applyAlignment="1">
      <alignment horizontal="center" vertical="center"/>
    </xf>
    <xf numFmtId="10" fontId="48" fillId="12" borderId="22" xfId="8" applyNumberFormat="1" applyFont="1" applyFill="1" applyBorder="1" applyAlignment="1">
      <alignment horizontal="center" vertical="center"/>
    </xf>
    <xf numFmtId="0" fontId="25" fillId="0" borderId="0" xfId="1" applyFont="1" applyAlignment="1">
      <alignment vertical="center"/>
    </xf>
    <xf numFmtId="168" fontId="25" fillId="0" borderId="0" xfId="1" applyNumberFormat="1" applyFont="1" applyAlignment="1">
      <alignment vertical="center"/>
    </xf>
    <xf numFmtId="49" fontId="25" fillId="0" borderId="0" xfId="1" applyNumberFormat="1" applyFont="1" applyAlignment="1">
      <alignment vertical="center"/>
    </xf>
    <xf numFmtId="0" fontId="5" fillId="0" borderId="0" xfId="2"/>
    <xf numFmtId="4" fontId="5" fillId="0" borderId="0" xfId="2" applyNumberFormat="1"/>
    <xf numFmtId="43" fontId="31" fillId="0" borderId="0" xfId="4" applyNumberFormat="1"/>
    <xf numFmtId="169" fontId="31" fillId="0" borderId="0" xfId="4" applyNumberFormat="1"/>
    <xf numFmtId="165" fontId="31" fillId="0" borderId="0" xfId="4" applyNumberFormat="1"/>
    <xf numFmtId="170" fontId="52" fillId="12" borderId="9" xfId="5" applyNumberFormat="1" applyFont="1" applyFill="1" applyBorder="1" applyAlignment="1">
      <alignment horizontal="center" vertical="center"/>
    </xf>
    <xf numFmtId="0" fontId="53" fillId="0" borderId="0" xfId="2" applyFont="1"/>
    <xf numFmtId="0" fontId="38" fillId="5" borderId="1" xfId="5" applyFont="1" applyFill="1" applyBorder="1" applyAlignment="1">
      <alignment vertical="center"/>
    </xf>
    <xf numFmtId="0" fontId="39" fillId="5" borderId="0" xfId="5" applyFont="1" applyFill="1" applyAlignment="1">
      <alignment vertical="center"/>
    </xf>
    <xf numFmtId="0" fontId="40" fillId="5" borderId="0" xfId="5" applyFont="1" applyFill="1" applyAlignment="1">
      <alignment vertical="center"/>
    </xf>
    <xf numFmtId="0" fontId="9" fillId="13" borderId="9" xfId="0" applyFont="1" applyFill="1" applyBorder="1" applyAlignment="1">
      <alignment horizontal="left" vertical="top" wrapText="1"/>
    </xf>
    <xf numFmtId="0" fontId="10" fillId="13" borderId="9" xfId="0" applyFont="1" applyFill="1" applyBorder="1" applyAlignment="1">
      <alignment horizontal="center" vertical="top" wrapText="1"/>
    </xf>
    <xf numFmtId="4" fontId="11" fillId="13" borderId="9" xfId="0" applyNumberFormat="1" applyFont="1" applyFill="1" applyBorder="1" applyAlignment="1">
      <alignment horizontal="right" vertical="top" wrapText="1"/>
    </xf>
    <xf numFmtId="164" fontId="12" fillId="13" borderId="9" xfId="0" applyNumberFormat="1" applyFont="1" applyFill="1" applyBorder="1" applyAlignment="1">
      <alignment horizontal="right" vertical="top" wrapText="1"/>
    </xf>
    <xf numFmtId="0" fontId="13" fillId="0" borderId="9" xfId="0" applyFont="1" applyBorder="1" applyAlignment="1">
      <alignment horizontal="left" vertical="top" wrapText="1"/>
    </xf>
    <xf numFmtId="1" fontId="13" fillId="0" borderId="9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right" vertical="top" wrapText="1"/>
    </xf>
    <xf numFmtId="4" fontId="16" fillId="0" borderId="9" xfId="0" applyNumberFormat="1" applyFont="1" applyBorder="1" applyAlignment="1">
      <alignment horizontal="right" vertical="top" wrapText="1"/>
    </xf>
    <xf numFmtId="164" fontId="17" fillId="0" borderId="9" xfId="0" applyNumberFormat="1" applyFont="1" applyBorder="1" applyAlignment="1">
      <alignment horizontal="right" vertical="top" wrapText="1"/>
    </xf>
    <xf numFmtId="0" fontId="14" fillId="0" borderId="9" xfId="0" applyFont="1" applyBorder="1" applyAlignment="1">
      <alignment horizontal="center" vertical="top" wrapText="1"/>
    </xf>
    <xf numFmtId="0" fontId="6" fillId="14" borderId="9" xfId="0" applyFont="1" applyFill="1" applyBorder="1" applyAlignment="1">
      <alignment horizontal="left" vertical="top" wrapText="1"/>
    </xf>
    <xf numFmtId="0" fontId="8" fillId="14" borderId="9" xfId="0" applyFont="1" applyFill="1" applyBorder="1" applyAlignment="1">
      <alignment horizontal="right" vertical="top" wrapText="1"/>
    </xf>
    <xf numFmtId="0" fontId="7" fillId="14" borderId="9" xfId="0" applyFont="1" applyFill="1" applyBorder="1" applyAlignment="1">
      <alignment horizontal="center" vertical="top" wrapText="1"/>
    </xf>
    <xf numFmtId="0" fontId="9" fillId="15" borderId="9" xfId="0" applyFont="1" applyFill="1" applyBorder="1" applyAlignment="1">
      <alignment horizontal="left" vertical="top" wrapText="1"/>
    </xf>
    <xf numFmtId="0" fontId="10" fillId="15" borderId="9" xfId="0" applyFont="1" applyFill="1" applyBorder="1" applyAlignment="1">
      <alignment horizontal="center" vertical="top" wrapText="1"/>
    </xf>
    <xf numFmtId="4" fontId="11" fillId="15" borderId="9" xfId="0" applyNumberFormat="1" applyFont="1" applyFill="1" applyBorder="1" applyAlignment="1">
      <alignment horizontal="right" vertical="top" wrapText="1"/>
    </xf>
    <xf numFmtId="164" fontId="12" fillId="15" borderId="9" xfId="0" applyNumberFormat="1" applyFont="1" applyFill="1" applyBorder="1" applyAlignment="1">
      <alignment horizontal="right" vertical="top" wrapText="1"/>
    </xf>
    <xf numFmtId="0" fontId="54" fillId="13" borderId="9" xfId="0" applyFont="1" applyFill="1" applyBorder="1" applyAlignment="1">
      <alignment horizontal="right" vertical="top" wrapText="1"/>
    </xf>
    <xf numFmtId="4" fontId="54" fillId="13" borderId="9" xfId="0" applyNumberFormat="1" applyFont="1" applyFill="1" applyBorder="1" applyAlignment="1">
      <alignment horizontal="right" vertical="top" wrapText="1"/>
    </xf>
    <xf numFmtId="0" fontId="55" fillId="15" borderId="9" xfId="0" applyFont="1" applyFill="1" applyBorder="1" applyAlignment="1">
      <alignment horizontal="right" vertical="top" wrapText="1"/>
    </xf>
    <xf numFmtId="4" fontId="55" fillId="15" borderId="9" xfId="0" applyNumberFormat="1" applyFont="1" applyFill="1" applyBorder="1" applyAlignment="1">
      <alignment horizontal="right" vertical="top" wrapText="1"/>
    </xf>
    <xf numFmtId="4" fontId="28" fillId="16" borderId="9" xfId="0" applyNumberFormat="1" applyFont="1" applyFill="1" applyBorder="1"/>
    <xf numFmtId="10" fontId="28" fillId="16" borderId="9" xfId="0" applyNumberFormat="1" applyFont="1" applyFill="1" applyBorder="1"/>
    <xf numFmtId="170" fontId="52" fillId="12" borderId="52" xfId="5" applyNumberFormat="1" applyFont="1" applyFill="1" applyBorder="1" applyAlignment="1">
      <alignment horizontal="center" vertical="center"/>
    </xf>
    <xf numFmtId="168" fontId="25" fillId="12" borderId="9" xfId="1" applyNumberFormat="1" applyFont="1" applyFill="1" applyBorder="1" applyAlignment="1">
      <alignment horizontal="center" vertical="center"/>
    </xf>
    <xf numFmtId="170" fontId="52" fillId="12" borderId="53" xfId="5" applyNumberFormat="1" applyFont="1" applyFill="1" applyBorder="1" applyAlignment="1">
      <alignment horizontal="center" vertical="center"/>
    </xf>
    <xf numFmtId="0" fontId="56" fillId="6" borderId="2" xfId="1" applyFont="1" applyFill="1" applyBorder="1" applyAlignment="1">
      <alignment horizontal="center" vertical="center"/>
    </xf>
    <xf numFmtId="0" fontId="56" fillId="6" borderId="62" xfId="1" applyFont="1" applyFill="1" applyBorder="1" applyAlignment="1">
      <alignment horizontal="center" vertical="center"/>
    </xf>
    <xf numFmtId="0" fontId="56" fillId="6" borderId="62" xfId="1" applyFont="1" applyFill="1" applyBorder="1" applyAlignment="1">
      <alignment horizontal="center" vertical="center" wrapText="1"/>
    </xf>
    <xf numFmtId="4" fontId="26" fillId="12" borderId="9" xfId="1" applyNumberFormat="1" applyFont="1" applyFill="1" applyBorder="1" applyAlignment="1">
      <alignment horizontal="center" vertical="center"/>
    </xf>
    <xf numFmtId="0" fontId="26" fillId="0" borderId="0" xfId="1" applyFont="1" applyAlignment="1">
      <alignment vertical="center"/>
    </xf>
    <xf numFmtId="168" fontId="26" fillId="0" borderId="0" xfId="1" applyNumberFormat="1" applyFont="1" applyAlignment="1">
      <alignment vertical="center"/>
    </xf>
    <xf numFmtId="49" fontId="26" fillId="0" borderId="0" xfId="1" applyNumberFormat="1" applyFont="1" applyAlignment="1">
      <alignment vertical="center"/>
    </xf>
    <xf numFmtId="0" fontId="57" fillId="0" borderId="0" xfId="2" applyFont="1"/>
    <xf numFmtId="49" fontId="26" fillId="12" borderId="31" xfId="1" applyNumberFormat="1" applyFont="1" applyFill="1" applyBorder="1" applyAlignment="1">
      <alignment horizontal="center" vertical="center"/>
    </xf>
    <xf numFmtId="168" fontId="25" fillId="12" borderId="3" xfId="1" applyNumberFormat="1" applyFont="1" applyFill="1" applyBorder="1" applyAlignment="1">
      <alignment horizontal="center" vertical="center"/>
    </xf>
    <xf numFmtId="168" fontId="25" fillId="12" borderId="53" xfId="1" applyNumberFormat="1" applyFont="1" applyFill="1" applyBorder="1" applyAlignment="1">
      <alignment horizontal="center" vertical="center"/>
    </xf>
    <xf numFmtId="0" fontId="56" fillId="0" borderId="52" xfId="1" applyFont="1" applyBorder="1" applyAlignment="1">
      <alignment horizontal="center" vertical="center"/>
    </xf>
    <xf numFmtId="0" fontId="23" fillId="0" borderId="0" xfId="10" applyFont="1"/>
    <xf numFmtId="0" fontId="52" fillId="12" borderId="21" xfId="1" applyFont="1" applyFill="1" applyBorder="1" applyAlignment="1">
      <alignment vertical="center"/>
    </xf>
    <xf numFmtId="0" fontId="52" fillId="12" borderId="31" xfId="1" applyFont="1" applyFill="1" applyBorder="1" applyAlignment="1">
      <alignment vertical="center"/>
    </xf>
    <xf numFmtId="0" fontId="52" fillId="12" borderId="31" xfId="1" applyFont="1" applyFill="1" applyBorder="1" applyAlignment="1">
      <alignment horizontal="center" vertical="center"/>
    </xf>
    <xf numFmtId="0" fontId="51" fillId="12" borderId="31" xfId="1" applyFont="1" applyFill="1" applyBorder="1" applyAlignment="1">
      <alignment vertical="center"/>
    </xf>
    <xf numFmtId="0" fontId="51" fillId="12" borderId="22" xfId="1" applyFont="1" applyFill="1" applyBorder="1" applyAlignment="1">
      <alignment vertical="center"/>
    </xf>
    <xf numFmtId="170" fontId="52" fillId="12" borderId="54" xfId="5" applyNumberFormat="1" applyFont="1" applyFill="1" applyBorder="1" applyAlignment="1">
      <alignment horizontal="center" vertical="center" wrapText="1"/>
    </xf>
    <xf numFmtId="0" fontId="53" fillId="0" borderId="0" xfId="10" applyFont="1"/>
    <xf numFmtId="0" fontId="56" fillId="0" borderId="2" xfId="1" applyFont="1" applyBorder="1" applyAlignment="1">
      <alignment vertical="center"/>
    </xf>
    <xf numFmtId="0" fontId="56" fillId="0" borderId="1" xfId="1" applyFont="1" applyBorder="1" applyAlignment="1">
      <alignment vertical="center"/>
    </xf>
    <xf numFmtId="0" fontId="56" fillId="0" borderId="3" xfId="1" applyFont="1" applyBorder="1" applyAlignment="1">
      <alignment vertical="center"/>
    </xf>
    <xf numFmtId="2" fontId="56" fillId="6" borderId="52" xfId="1" applyNumberFormat="1" applyFont="1" applyFill="1" applyBorder="1" applyAlignment="1">
      <alignment horizontal="center" vertical="center"/>
    </xf>
    <xf numFmtId="2" fontId="56" fillId="6" borderId="2" xfId="1" applyNumberFormat="1" applyFont="1" applyFill="1" applyBorder="1" applyAlignment="1">
      <alignment horizontal="center" vertical="center"/>
    </xf>
    <xf numFmtId="2" fontId="56" fillId="0" borderId="52" xfId="1" applyNumberFormat="1" applyFont="1" applyBorder="1" applyAlignment="1">
      <alignment horizontal="center" vertical="center"/>
    </xf>
    <xf numFmtId="0" fontId="57" fillId="0" borderId="0" xfId="10" applyFont="1"/>
    <xf numFmtId="49" fontId="26" fillId="5" borderId="21" xfId="1" applyNumberFormat="1" applyFont="1" applyFill="1" applyBorder="1" applyAlignment="1">
      <alignment horizontal="right" vertical="center"/>
    </xf>
    <xf numFmtId="49" fontId="26" fillId="5" borderId="31" xfId="1" applyNumberFormat="1" applyFont="1" applyFill="1" applyBorder="1" applyAlignment="1">
      <alignment horizontal="right" vertical="center"/>
    </xf>
    <xf numFmtId="4" fontId="26" fillId="5" borderId="31" xfId="1" applyNumberFormat="1" applyFont="1" applyFill="1" applyBorder="1" applyAlignment="1">
      <alignment horizontal="center" vertical="center"/>
    </xf>
    <xf numFmtId="170" fontId="52" fillId="5" borderId="7" xfId="5" applyNumberFormat="1" applyFont="1" applyFill="1" applyBorder="1" applyAlignment="1">
      <alignment horizontal="left" vertical="top" wrapText="1"/>
    </xf>
    <xf numFmtId="0" fontId="57" fillId="5" borderId="0" xfId="10" applyFont="1" applyFill="1"/>
    <xf numFmtId="2" fontId="56" fillId="5" borderId="52" xfId="1" applyNumberFormat="1" applyFont="1" applyFill="1" applyBorder="1" applyAlignment="1">
      <alignment horizontal="center" vertical="center"/>
    </xf>
    <xf numFmtId="2" fontId="56" fillId="5" borderId="2" xfId="1" applyNumberFormat="1" applyFont="1" applyFill="1" applyBorder="1" applyAlignment="1">
      <alignment horizontal="center" vertical="center"/>
    </xf>
    <xf numFmtId="4" fontId="4" fillId="0" borderId="0" xfId="10" applyNumberFormat="1"/>
    <xf numFmtId="2" fontId="56" fillId="5" borderId="1" xfId="1" applyNumberFormat="1" applyFont="1" applyFill="1" applyBorder="1" applyAlignment="1">
      <alignment horizontal="center" vertical="center"/>
    </xf>
    <xf numFmtId="170" fontId="52" fillId="0" borderId="2" xfId="5" applyNumberFormat="1" applyFont="1" applyBorder="1" applyAlignment="1">
      <alignment horizontal="left" vertical="top" wrapText="1"/>
    </xf>
    <xf numFmtId="170" fontId="52" fillId="0" borderId="1" xfId="5" applyNumberFormat="1" applyFont="1" applyBorder="1" applyAlignment="1">
      <alignment horizontal="left" vertical="top" wrapText="1"/>
    </xf>
    <xf numFmtId="0" fontId="53" fillId="0" borderId="1" xfId="10" applyFont="1" applyBorder="1"/>
    <xf numFmtId="0" fontId="53" fillId="0" borderId="3" xfId="10" applyFont="1" applyBorder="1"/>
    <xf numFmtId="170" fontId="52" fillId="0" borderId="4" xfId="5" applyNumberFormat="1" applyFont="1" applyBorder="1" applyAlignment="1">
      <alignment horizontal="left" vertical="top" wrapText="1"/>
    </xf>
    <xf numFmtId="170" fontId="52" fillId="0" borderId="0" xfId="5" applyNumberFormat="1" applyFont="1" applyAlignment="1">
      <alignment horizontal="left" vertical="top" wrapText="1"/>
    </xf>
    <xf numFmtId="0" fontId="53" fillId="0" borderId="5" xfId="10" applyFont="1" applyBorder="1"/>
    <xf numFmtId="170" fontId="52" fillId="0" borderId="6" xfId="5" applyNumberFormat="1" applyFont="1" applyBorder="1" applyAlignment="1">
      <alignment horizontal="left" vertical="top" wrapText="1"/>
    </xf>
    <xf numFmtId="170" fontId="52" fillId="0" borderId="7" xfId="5" applyNumberFormat="1" applyFont="1" applyBorder="1" applyAlignment="1">
      <alignment horizontal="left" vertical="top" wrapText="1"/>
    </xf>
    <xf numFmtId="0" fontId="26" fillId="0" borderId="7" xfId="1" applyFont="1" applyBorder="1" applyAlignment="1">
      <alignment vertical="center"/>
    </xf>
    <xf numFmtId="0" fontId="26" fillId="0" borderId="8" xfId="1" applyFont="1" applyBorder="1" applyAlignment="1">
      <alignment vertical="center"/>
    </xf>
    <xf numFmtId="0" fontId="4" fillId="0" borderId="0" xfId="10"/>
    <xf numFmtId="0" fontId="4" fillId="0" borderId="0" xfId="10" applyAlignment="1">
      <alignment horizontal="center"/>
    </xf>
    <xf numFmtId="2" fontId="56" fillId="6" borderId="9" xfId="1" applyNumberFormat="1" applyFont="1" applyFill="1" applyBorder="1" applyAlignment="1">
      <alignment horizontal="center" vertical="center"/>
    </xf>
    <xf numFmtId="0" fontId="4" fillId="12" borderId="22" xfId="10" applyFill="1" applyBorder="1"/>
    <xf numFmtId="0" fontId="56" fillId="0" borderId="0" xfId="1" applyFont="1" applyAlignment="1">
      <alignment horizontal="left" vertical="center"/>
    </xf>
    <xf numFmtId="2" fontId="4" fillId="0" borderId="0" xfId="10" applyNumberFormat="1"/>
    <xf numFmtId="0" fontId="56" fillId="5" borderId="21" xfId="1" applyFont="1" applyFill="1" applyBorder="1" applyAlignment="1">
      <alignment horizontal="center" vertical="center"/>
    </xf>
    <xf numFmtId="0" fontId="56" fillId="5" borderId="31" xfId="1" applyFont="1" applyFill="1" applyBorder="1" applyAlignment="1">
      <alignment horizontal="center" vertical="center"/>
    </xf>
    <xf numFmtId="0" fontId="56" fillId="5" borderId="22" xfId="1" applyFont="1" applyFill="1" applyBorder="1" applyAlignment="1">
      <alignment horizontal="center" vertical="center"/>
    </xf>
    <xf numFmtId="2" fontId="56" fillId="6" borderId="21" xfId="1" applyNumberFormat="1" applyFont="1" applyFill="1" applyBorder="1" applyAlignment="1">
      <alignment horizontal="center" vertical="center"/>
    </xf>
    <xf numFmtId="2" fontId="56" fillId="6" borderId="31" xfId="1" applyNumberFormat="1" applyFont="1" applyFill="1" applyBorder="1" applyAlignment="1">
      <alignment horizontal="center" vertical="center"/>
    </xf>
    <xf numFmtId="2" fontId="56" fillId="6" borderId="22" xfId="1" applyNumberFormat="1" applyFont="1" applyFill="1" applyBorder="1" applyAlignment="1">
      <alignment horizontal="center" vertical="center"/>
    </xf>
    <xf numFmtId="172" fontId="56" fillId="5" borderId="21" xfId="1" applyNumberFormat="1" applyFont="1" applyFill="1" applyBorder="1" applyAlignment="1">
      <alignment horizontal="center" vertical="center"/>
    </xf>
    <xf numFmtId="172" fontId="56" fillId="5" borderId="31" xfId="1" applyNumberFormat="1" applyFont="1" applyFill="1" applyBorder="1" applyAlignment="1">
      <alignment horizontal="center" vertical="center"/>
    </xf>
    <xf numFmtId="172" fontId="56" fillId="5" borderId="22" xfId="1" applyNumberFormat="1" applyFont="1" applyFill="1" applyBorder="1" applyAlignment="1">
      <alignment horizontal="center" vertical="center"/>
    </xf>
    <xf numFmtId="4" fontId="56" fillId="0" borderId="52" xfId="1" applyNumberFormat="1" applyFont="1" applyBorder="1" applyAlignment="1">
      <alignment horizontal="center" vertical="center"/>
    </xf>
    <xf numFmtId="0" fontId="56" fillId="0" borderId="2" xfId="1" applyFont="1" applyBorder="1" applyAlignment="1">
      <alignment horizontal="left" vertical="center"/>
    </xf>
    <xf numFmtId="0" fontId="56" fillId="0" borderId="1" xfId="1" applyFont="1" applyBorder="1" applyAlignment="1">
      <alignment horizontal="left" vertical="center"/>
    </xf>
    <xf numFmtId="0" fontId="23" fillId="0" borderId="0" xfId="12" applyFont="1"/>
    <xf numFmtId="0" fontId="53" fillId="0" borderId="0" xfId="12" applyFont="1"/>
    <xf numFmtId="170" fontId="52" fillId="12" borderId="54" xfId="5" applyNumberFormat="1" applyFont="1" applyFill="1" applyBorder="1" applyAlignment="1">
      <alignment horizontal="center" vertical="center"/>
    </xf>
    <xf numFmtId="2" fontId="56" fillId="0" borderId="2" xfId="1" applyNumberFormat="1" applyFont="1" applyBorder="1" applyAlignment="1">
      <alignment horizontal="center" vertical="center"/>
    </xf>
    <xf numFmtId="4" fontId="56" fillId="0" borderId="2" xfId="1" applyNumberFormat="1" applyFont="1" applyBorder="1" applyAlignment="1">
      <alignment horizontal="center" vertical="center"/>
    </xf>
    <xf numFmtId="166" fontId="56" fillId="6" borderId="52" xfId="1" applyNumberFormat="1" applyFont="1" applyFill="1" applyBorder="1" applyAlignment="1">
      <alignment horizontal="center" vertical="center"/>
    </xf>
    <xf numFmtId="173" fontId="56" fillId="0" borderId="52" xfId="1" applyNumberFormat="1" applyFont="1" applyBorder="1" applyAlignment="1">
      <alignment horizontal="center" vertical="center"/>
    </xf>
    <xf numFmtId="49" fontId="26" fillId="12" borderId="31" xfId="1" applyNumberFormat="1" applyFont="1" applyFill="1" applyBorder="1" applyAlignment="1">
      <alignment vertical="center"/>
    </xf>
    <xf numFmtId="0" fontId="57" fillId="0" borderId="0" xfId="12" applyFont="1"/>
    <xf numFmtId="0" fontId="3" fillId="0" borderId="0" xfId="12"/>
    <xf numFmtId="0" fontId="3" fillId="0" borderId="0" xfId="12" applyAlignment="1">
      <alignment horizontal="right"/>
    </xf>
    <xf numFmtId="4" fontId="3" fillId="0" borderId="0" xfId="12" applyNumberFormat="1"/>
    <xf numFmtId="170" fontId="52" fillId="12" borderId="9" xfId="5" applyNumberFormat="1" applyFont="1" applyFill="1" applyBorder="1" applyAlignment="1">
      <alignment horizontal="center" vertical="center" wrapText="1"/>
    </xf>
    <xf numFmtId="171" fontId="56" fillId="6" borderId="2" xfId="1" applyNumberFormat="1" applyFont="1" applyFill="1" applyBorder="1" applyAlignment="1">
      <alignment horizontal="center" vertical="center"/>
    </xf>
    <xf numFmtId="0" fontId="51" fillId="17" borderId="0" xfId="1" applyFont="1" applyFill="1"/>
    <xf numFmtId="0" fontId="59" fillId="17" borderId="68" xfId="1" applyFont="1" applyFill="1" applyBorder="1" applyAlignment="1">
      <alignment horizontal="center"/>
    </xf>
    <xf numFmtId="0" fontId="59" fillId="0" borderId="69" xfId="12" applyFont="1" applyBorder="1" applyAlignment="1">
      <alignment horizontal="center"/>
    </xf>
    <xf numFmtId="166" fontId="56" fillId="0" borderId="2" xfId="1" applyNumberFormat="1" applyFont="1" applyBorder="1" applyAlignment="1">
      <alignment horizontal="center" vertical="center"/>
    </xf>
    <xf numFmtId="173" fontId="56" fillId="0" borderId="2" xfId="1" applyNumberFormat="1" applyFont="1" applyBorder="1" applyAlignment="1">
      <alignment horizontal="center" vertical="center"/>
    </xf>
    <xf numFmtId="173" fontId="42" fillId="18" borderId="73" xfId="5" applyNumberFormat="1" applyFont="1" applyFill="1" applyBorder="1" applyAlignment="1">
      <alignment horizontal="left" vertical="center" wrapText="1"/>
    </xf>
    <xf numFmtId="173" fontId="42" fillId="18" borderId="76" xfId="13" applyNumberFormat="1" applyFont="1" applyFill="1" applyBorder="1" applyAlignment="1">
      <alignment horizontal="center" vertical="center"/>
    </xf>
    <xf numFmtId="2" fontId="42" fillId="0" borderId="77" xfId="6" applyNumberFormat="1" applyFont="1" applyBorder="1"/>
    <xf numFmtId="173" fontId="42" fillId="0" borderId="78" xfId="6" applyNumberFormat="1" applyFont="1" applyBorder="1"/>
    <xf numFmtId="173" fontId="42" fillId="18" borderId="10" xfId="13" applyNumberFormat="1" applyFont="1" applyFill="1" applyBorder="1" applyAlignment="1">
      <alignment horizontal="center" vertical="center"/>
    </xf>
    <xf numFmtId="0" fontId="42" fillId="0" borderId="79" xfId="6" applyFont="1" applyBorder="1" applyAlignment="1">
      <alignment horizontal="center"/>
    </xf>
    <xf numFmtId="0" fontId="42" fillId="0" borderId="82" xfId="6" applyFont="1" applyBorder="1" applyAlignment="1">
      <alignment horizontal="center"/>
    </xf>
    <xf numFmtId="2" fontId="26" fillId="0" borderId="83" xfId="6" applyNumberFormat="1" applyFont="1" applyBorder="1"/>
    <xf numFmtId="0" fontId="57" fillId="0" borderId="26" xfId="12" applyFont="1" applyBorder="1"/>
    <xf numFmtId="0" fontId="57" fillId="0" borderId="0" xfId="12" applyFont="1" applyAlignment="1">
      <alignment horizontal="center"/>
    </xf>
    <xf numFmtId="0" fontId="57" fillId="0" borderId="27" xfId="12" applyFont="1" applyBorder="1"/>
    <xf numFmtId="0" fontId="60" fillId="0" borderId="0" xfId="12" applyFont="1" applyAlignment="1">
      <alignment horizontal="right"/>
    </xf>
    <xf numFmtId="4" fontId="60" fillId="0" borderId="27" xfId="12" applyNumberFormat="1" applyFont="1" applyBorder="1"/>
    <xf numFmtId="0" fontId="57" fillId="0" borderId="55" xfId="12" applyFont="1" applyBorder="1"/>
    <xf numFmtId="0" fontId="57" fillId="0" borderId="57" xfId="12" applyFont="1" applyBorder="1"/>
    <xf numFmtId="0" fontId="57" fillId="0" borderId="57" xfId="12" applyFont="1" applyBorder="1" applyAlignment="1">
      <alignment horizontal="center"/>
    </xf>
    <xf numFmtId="0" fontId="57" fillId="0" borderId="60" xfId="12" applyFont="1" applyBorder="1"/>
    <xf numFmtId="0" fontId="3" fillId="0" borderId="0" xfId="12" applyAlignment="1">
      <alignment horizontal="center"/>
    </xf>
    <xf numFmtId="0" fontId="38" fillId="5" borderId="0" xfId="5" applyFont="1" applyFill="1" applyAlignment="1">
      <alignment vertical="center"/>
    </xf>
    <xf numFmtId="0" fontId="24" fillId="6" borderId="50" xfId="7" applyFill="1" applyBorder="1" applyAlignment="1">
      <alignment horizontal="center" vertical="center"/>
    </xf>
    <xf numFmtId="0" fontId="27" fillId="6" borderId="21" xfId="7" applyFont="1" applyFill="1" applyBorder="1" applyAlignment="1">
      <alignment horizontal="center" vertical="center"/>
    </xf>
    <xf numFmtId="0" fontId="27" fillId="6" borderId="22" xfId="7" applyFont="1" applyFill="1" applyBorder="1" applyAlignment="1">
      <alignment vertical="center"/>
    </xf>
    <xf numFmtId="0" fontId="24" fillId="6" borderId="9" xfId="7" applyFill="1" applyBorder="1" applyAlignment="1">
      <alignment vertical="center"/>
    </xf>
    <xf numFmtId="0" fontId="27" fillId="0" borderId="9" xfId="7" applyFont="1" applyBorder="1" applyAlignment="1">
      <alignment vertical="center" wrapText="1"/>
    </xf>
    <xf numFmtId="4" fontId="27" fillId="0" borderId="9" xfId="7" applyNumberFormat="1" applyFont="1" applyBorder="1" applyAlignment="1">
      <alignment horizontal="center" vertical="center"/>
    </xf>
    <xf numFmtId="176" fontId="24" fillId="0" borderId="0" xfId="7" applyNumberFormat="1" applyAlignment="1">
      <alignment vertical="center"/>
    </xf>
    <xf numFmtId="0" fontId="27" fillId="6" borderId="9" xfId="7" applyFont="1" applyFill="1" applyBorder="1" applyAlignment="1">
      <alignment vertical="center" wrapText="1"/>
    </xf>
    <xf numFmtId="4" fontId="27" fillId="6" borderId="9" xfId="7" applyNumberFormat="1" applyFont="1" applyFill="1" applyBorder="1" applyAlignment="1">
      <alignment horizontal="center" vertical="center"/>
    </xf>
    <xf numFmtId="166" fontId="27" fillId="6" borderId="9" xfId="7" applyNumberFormat="1" applyFont="1" applyFill="1" applyBorder="1" applyAlignment="1">
      <alignment vertical="center"/>
    </xf>
    <xf numFmtId="166" fontId="27" fillId="0" borderId="9" xfId="7" applyNumberFormat="1" applyFont="1" applyBorder="1" applyAlignment="1">
      <alignment vertical="center"/>
    </xf>
    <xf numFmtId="167" fontId="43" fillId="0" borderId="87" xfId="7" applyNumberFormat="1" applyFont="1" applyBorder="1" applyAlignment="1">
      <alignment vertical="center"/>
    </xf>
    <xf numFmtId="4" fontId="27" fillId="6" borderId="9" xfId="7" applyNumberFormat="1" applyFont="1" applyFill="1" applyBorder="1" applyAlignment="1">
      <alignment vertical="center"/>
    </xf>
    <xf numFmtId="0" fontId="24" fillId="0" borderId="0" xfId="14"/>
    <xf numFmtId="0" fontId="42" fillId="0" borderId="0" xfId="14" applyFont="1"/>
    <xf numFmtId="0" fontId="24" fillId="0" borderId="60" xfId="14" applyBorder="1"/>
    <xf numFmtId="0" fontId="24" fillId="0" borderId="57" xfId="14" applyBorder="1"/>
    <xf numFmtId="0" fontId="24" fillId="0" borderId="57" xfId="14" applyBorder="1" applyAlignment="1">
      <alignment horizontal="left" vertical="center"/>
    </xf>
    <xf numFmtId="9" fontId="24" fillId="0" borderId="57" xfId="14" applyNumberFormat="1" applyBorder="1" applyAlignment="1">
      <alignment horizontal="center" vertical="center"/>
    </xf>
    <xf numFmtId="0" fontId="24" fillId="0" borderId="55" xfId="14" applyBorder="1"/>
    <xf numFmtId="0" fontId="24" fillId="0" borderId="27" xfId="14" applyBorder="1"/>
    <xf numFmtId="10" fontId="24" fillId="0" borderId="90" xfId="14" applyNumberFormat="1" applyBorder="1" applyAlignment="1">
      <alignment horizontal="center" vertical="center"/>
    </xf>
    <xf numFmtId="0" fontId="24" fillId="0" borderId="26" xfId="14" applyBorder="1"/>
    <xf numFmtId="0" fontId="24" fillId="0" borderId="0" xfId="14" applyAlignment="1">
      <alignment horizontal="left"/>
    </xf>
    <xf numFmtId="0" fontId="24" fillId="0" borderId="0" xfId="14" applyAlignment="1">
      <alignment horizontal="left" vertical="center"/>
    </xf>
    <xf numFmtId="40" fontId="24" fillId="0" borderId="0" xfId="14" applyNumberFormat="1" applyAlignment="1">
      <alignment horizontal="center" vertical="center"/>
    </xf>
    <xf numFmtId="0" fontId="52" fillId="0" borderId="0" xfId="14" applyFont="1" applyAlignment="1">
      <alignment horizontal="right" vertical="center"/>
    </xf>
    <xf numFmtId="0" fontId="52" fillId="0" borderId="0" xfId="14" applyFont="1" applyAlignment="1">
      <alignment vertical="center" wrapText="1"/>
    </xf>
    <xf numFmtId="10" fontId="30" fillId="18" borderId="91" xfId="16" applyNumberFormat="1" applyFont="1" applyFill="1" applyBorder="1" applyAlignment="1">
      <alignment horizontal="center" vertical="center"/>
    </xf>
    <xf numFmtId="0" fontId="30" fillId="18" borderId="92" xfId="14" applyFont="1" applyFill="1" applyBorder="1" applyAlignment="1">
      <alignment horizontal="center" vertical="center"/>
    </xf>
    <xf numFmtId="0" fontId="24" fillId="0" borderId="9" xfId="14" applyBorder="1" applyAlignment="1">
      <alignment horizontal="center"/>
    </xf>
    <xf numFmtId="10" fontId="24" fillId="0" borderId="0" xfId="16" applyNumberFormat="1" applyFont="1"/>
    <xf numFmtId="10" fontId="53" fillId="0" borderId="0" xfId="16" applyNumberFormat="1" applyFont="1"/>
    <xf numFmtId="0" fontId="25" fillId="6" borderId="9" xfId="14" applyFont="1" applyFill="1" applyBorder="1" applyAlignment="1">
      <alignment horizontal="center"/>
    </xf>
    <xf numFmtId="2" fontId="61" fillId="0" borderId="0" xfId="17" applyNumberFormat="1" applyFont="1" applyAlignment="1">
      <alignment horizontal="center" vertical="center"/>
    </xf>
    <xf numFmtId="2" fontId="61" fillId="0" borderId="88" xfId="17" applyNumberFormat="1" applyFont="1" applyBorder="1" applyAlignment="1">
      <alignment horizontal="center" vertical="center"/>
    </xf>
    <xf numFmtId="2" fontId="30" fillId="0" borderId="90" xfId="17" applyNumberFormat="1" applyFont="1" applyBorder="1" applyAlignment="1">
      <alignment horizontal="center" vertical="center"/>
    </xf>
    <xf numFmtId="0" fontId="56" fillId="0" borderId="0" xfId="17" applyFont="1" applyAlignment="1">
      <alignment horizontal="center" vertical="center"/>
    </xf>
    <xf numFmtId="2" fontId="30" fillId="0" borderId="0" xfId="17" applyNumberFormat="1" applyFont="1" applyAlignment="1">
      <alignment horizontal="center" vertical="center"/>
    </xf>
    <xf numFmtId="0" fontId="25" fillId="0" borderId="0" xfId="14" applyFont="1" applyAlignment="1">
      <alignment horizontal="center" vertical="center"/>
    </xf>
    <xf numFmtId="0" fontId="24" fillId="0" borderId="0" xfId="18" applyAlignment="1">
      <alignment vertical="center"/>
    </xf>
    <xf numFmtId="0" fontId="24" fillId="5" borderId="0" xfId="18" applyFill="1" applyAlignment="1">
      <alignment vertical="center"/>
    </xf>
    <xf numFmtId="0" fontId="25" fillId="5" borderId="0" xfId="18" applyFont="1" applyFill="1" applyAlignment="1">
      <alignment horizontal="center" vertical="center" wrapText="1"/>
    </xf>
    <xf numFmtId="0" fontId="25" fillId="5" borderId="0" xfId="18" applyFont="1" applyFill="1" applyAlignment="1">
      <alignment horizontal="right" vertical="center"/>
    </xf>
    <xf numFmtId="0" fontId="24" fillId="0" borderId="6" xfId="14" applyBorder="1"/>
    <xf numFmtId="0" fontId="63" fillId="0" borderId="0" xfId="14" applyFont="1"/>
    <xf numFmtId="0" fontId="24" fillId="0" borderId="93" xfId="14" applyBorder="1"/>
    <xf numFmtId="0" fontId="24" fillId="0" borderId="4" xfId="14" applyBorder="1"/>
    <xf numFmtId="0" fontId="30" fillId="18" borderId="94" xfId="14" applyFont="1" applyFill="1" applyBorder="1" applyAlignment="1">
      <alignment horizontal="center" vertical="center"/>
    </xf>
    <xf numFmtId="0" fontId="24" fillId="0" borderId="2" xfId="14" applyBorder="1"/>
    <xf numFmtId="0" fontId="24" fillId="0" borderId="95" xfId="14" applyBorder="1"/>
    <xf numFmtId="170" fontId="52" fillId="12" borderId="52" xfId="5" applyNumberFormat="1" applyFont="1" applyFill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right" vertical="top" wrapText="1"/>
    </xf>
    <xf numFmtId="43" fontId="15" fillId="0" borderId="9" xfId="19" applyFont="1" applyBorder="1" applyAlignment="1">
      <alignment horizontal="right" vertical="top" wrapText="1"/>
    </xf>
    <xf numFmtId="0" fontId="24" fillId="5" borderId="26" xfId="3" applyFill="1" applyBorder="1" applyAlignment="1">
      <alignment horizontal="left" vertical="center"/>
    </xf>
    <xf numFmtId="0" fontId="22" fillId="0" borderId="27" xfId="2" applyFont="1" applyBorder="1" applyAlignment="1" applyProtection="1">
      <alignment vertical="center"/>
      <protection locked="0"/>
    </xf>
    <xf numFmtId="17" fontId="22" fillId="0" borderId="0" xfId="2" applyNumberFormat="1" applyFont="1" applyAlignment="1" applyProtection="1">
      <alignment vertical="center"/>
      <protection locked="0"/>
    </xf>
    <xf numFmtId="49" fontId="26" fillId="12" borderId="22" xfId="1" applyNumberFormat="1" applyFont="1" applyFill="1" applyBorder="1" applyAlignment="1">
      <alignment vertical="center"/>
    </xf>
    <xf numFmtId="0" fontId="25" fillId="12" borderId="2" xfId="1" applyFont="1" applyFill="1" applyBorder="1" applyAlignment="1">
      <alignment vertical="center"/>
    </xf>
    <xf numFmtId="0" fontId="25" fillId="12" borderId="1" xfId="1" applyFont="1" applyFill="1" applyBorder="1" applyAlignment="1">
      <alignment vertical="center"/>
    </xf>
    <xf numFmtId="0" fontId="25" fillId="12" borderId="6" xfId="1" applyFont="1" applyFill="1" applyBorder="1" applyAlignment="1">
      <alignment vertical="center"/>
    </xf>
    <xf numFmtId="0" fontId="25" fillId="12" borderId="7" xfId="1" applyFont="1" applyFill="1" applyBorder="1" applyAlignment="1">
      <alignment vertical="center"/>
    </xf>
    <xf numFmtId="0" fontId="2" fillId="12" borderId="22" xfId="10" applyFont="1" applyFill="1" applyBorder="1"/>
    <xf numFmtId="2" fontId="15" fillId="0" borderId="9" xfId="0" applyNumberFormat="1" applyFont="1" applyBorder="1" applyAlignment="1">
      <alignment horizontal="right" vertical="top" wrapText="1"/>
    </xf>
    <xf numFmtId="49" fontId="48" fillId="12" borderId="21" xfId="1" applyNumberFormat="1" applyFont="1" applyFill="1" applyBorder="1" applyAlignment="1">
      <alignment horizontal="right" vertical="center"/>
    </xf>
    <xf numFmtId="49" fontId="48" fillId="12" borderId="31" xfId="1" applyNumberFormat="1" applyFont="1" applyFill="1" applyBorder="1" applyAlignment="1">
      <alignment horizontal="right" vertical="center"/>
    </xf>
    <xf numFmtId="0" fontId="38" fillId="5" borderId="2" xfId="5" applyFont="1" applyFill="1" applyBorder="1" applyAlignment="1">
      <alignment horizontal="center" vertical="center"/>
    </xf>
    <xf numFmtId="0" fontId="38" fillId="5" borderId="1" xfId="5" applyFont="1" applyFill="1" applyBorder="1" applyAlignment="1">
      <alignment horizontal="center" vertical="center"/>
    </xf>
    <xf numFmtId="0" fontId="38" fillId="5" borderId="3" xfId="5" applyFont="1" applyFill="1" applyBorder="1" applyAlignment="1">
      <alignment horizontal="center" vertical="center"/>
    </xf>
    <xf numFmtId="0" fontId="39" fillId="5" borderId="4" xfId="5" applyFont="1" applyFill="1" applyBorder="1" applyAlignment="1">
      <alignment horizontal="center" vertical="center"/>
    </xf>
    <xf numFmtId="0" fontId="39" fillId="5" borderId="0" xfId="5" applyFont="1" applyFill="1" applyAlignment="1">
      <alignment horizontal="center" vertical="center"/>
    </xf>
    <xf numFmtId="0" fontId="39" fillId="5" borderId="5" xfId="5" applyFont="1" applyFill="1" applyBorder="1" applyAlignment="1">
      <alignment horizontal="center" vertical="center"/>
    </xf>
    <xf numFmtId="0" fontId="40" fillId="5" borderId="4" xfId="5" applyFont="1" applyFill="1" applyBorder="1" applyAlignment="1">
      <alignment horizontal="center" vertical="center"/>
    </xf>
    <xf numFmtId="0" fontId="40" fillId="5" borderId="0" xfId="5" applyFont="1" applyFill="1" applyAlignment="1">
      <alignment horizontal="center" vertical="center"/>
    </xf>
    <xf numFmtId="0" fontId="40" fillId="5" borderId="5" xfId="5" applyFont="1" applyFill="1" applyBorder="1" applyAlignment="1">
      <alignment horizontal="center" vertical="center"/>
    </xf>
    <xf numFmtId="0" fontId="45" fillId="5" borderId="6" xfId="5" applyFont="1" applyFill="1" applyBorder="1" applyAlignment="1">
      <alignment horizontal="center" vertical="center"/>
    </xf>
    <xf numFmtId="0" fontId="45" fillId="5" borderId="7" xfId="5" applyFont="1" applyFill="1" applyBorder="1" applyAlignment="1">
      <alignment horizontal="center" vertical="center"/>
    </xf>
    <xf numFmtId="0" fontId="45" fillId="5" borderId="8" xfId="5" applyFont="1" applyFill="1" applyBorder="1" applyAlignment="1">
      <alignment horizontal="center" vertical="center"/>
    </xf>
    <xf numFmtId="0" fontId="25" fillId="5" borderId="1" xfId="5" applyFont="1" applyFill="1" applyBorder="1" applyAlignment="1">
      <alignment horizontal="left" vertical="center"/>
    </xf>
    <xf numFmtId="0" fontId="25" fillId="5" borderId="3" xfId="5" applyFont="1" applyFill="1" applyBorder="1" applyAlignment="1">
      <alignment horizontal="left" vertical="center"/>
    </xf>
    <xf numFmtId="0" fontId="25" fillId="5" borderId="0" xfId="5" applyFont="1" applyFill="1" applyAlignment="1">
      <alignment horizontal="left" vertical="center"/>
    </xf>
    <xf numFmtId="0" fontId="25" fillId="5" borderId="5" xfId="5" applyFont="1" applyFill="1" applyBorder="1" applyAlignment="1">
      <alignment horizontal="left" vertical="center"/>
    </xf>
    <xf numFmtId="49" fontId="25" fillId="5" borderId="7" xfId="5" applyNumberFormat="1" applyFont="1" applyFill="1" applyBorder="1" applyAlignment="1">
      <alignment horizontal="left" vertical="center"/>
    </xf>
    <xf numFmtId="0" fontId="25" fillId="5" borderId="7" xfId="5" applyFont="1" applyFill="1" applyBorder="1" applyAlignment="1">
      <alignment horizontal="left" vertical="center"/>
    </xf>
    <xf numFmtId="0" fontId="25" fillId="5" borderId="8" xfId="5" applyFont="1" applyFill="1" applyBorder="1" applyAlignment="1">
      <alignment horizontal="left" vertical="center"/>
    </xf>
    <xf numFmtId="0" fontId="46" fillId="6" borderId="21" xfId="1" applyFont="1" applyFill="1" applyBorder="1" applyAlignment="1">
      <alignment horizontal="center" vertical="center"/>
    </xf>
    <xf numFmtId="0" fontId="46" fillId="6" borderId="31" xfId="1" applyFont="1" applyFill="1" applyBorder="1" applyAlignment="1">
      <alignment horizontal="center" vertical="center"/>
    </xf>
    <xf numFmtId="0" fontId="46" fillId="6" borderId="22" xfId="1" applyFont="1" applyFill="1" applyBorder="1" applyAlignment="1">
      <alignment horizontal="center" vertical="center"/>
    </xf>
    <xf numFmtId="0" fontId="48" fillId="12" borderId="21" xfId="1" applyFont="1" applyFill="1" applyBorder="1" applyAlignment="1">
      <alignment horizontal="center" vertical="center"/>
    </xf>
    <xf numFmtId="0" fontId="48" fillId="12" borderId="31" xfId="1" applyFont="1" applyFill="1" applyBorder="1" applyAlignment="1">
      <alignment horizontal="center" vertical="center"/>
    </xf>
    <xf numFmtId="0" fontId="48" fillId="12" borderId="22" xfId="1" applyFont="1" applyFill="1" applyBorder="1" applyAlignment="1">
      <alignment horizontal="center" vertical="center"/>
    </xf>
    <xf numFmtId="0" fontId="40" fillId="5" borderId="6" xfId="5" applyFont="1" applyFill="1" applyBorder="1" applyAlignment="1">
      <alignment horizontal="center" vertical="center"/>
    </xf>
    <xf numFmtId="0" fontId="40" fillId="5" borderId="7" xfId="5" applyFont="1" applyFill="1" applyBorder="1" applyAlignment="1">
      <alignment horizontal="center" vertical="center"/>
    </xf>
    <xf numFmtId="0" fontId="28" fillId="16" borderId="9" xfId="0" applyFont="1" applyFill="1" applyBorder="1" applyAlignment="1">
      <alignment horizontal="right"/>
    </xf>
    <xf numFmtId="0" fontId="41" fillId="6" borderId="2" xfId="6" applyFont="1" applyFill="1" applyBorder="1" applyAlignment="1">
      <alignment horizontal="center" vertical="center" wrapText="1"/>
    </xf>
    <xf numFmtId="0" fontId="41" fillId="6" borderId="1" xfId="6" applyFont="1" applyFill="1" applyBorder="1" applyAlignment="1">
      <alignment horizontal="center" vertical="center" wrapText="1"/>
    </xf>
    <xf numFmtId="0" fontId="41" fillId="6" borderId="6" xfId="6" applyFont="1" applyFill="1" applyBorder="1" applyAlignment="1">
      <alignment horizontal="center" vertical="center" wrapText="1"/>
    </xf>
    <xf numFmtId="0" fontId="41" fillId="6" borderId="7" xfId="6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164" fontId="24" fillId="0" borderId="9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18" fillId="2" borderId="0" xfId="0" applyFont="1" applyFill="1" applyAlignment="1">
      <alignment horizontal="left" vertical="top" wrapText="1"/>
    </xf>
    <xf numFmtId="1" fontId="25" fillId="6" borderId="9" xfId="14" applyNumberFormat="1" applyFont="1" applyFill="1" applyBorder="1" applyAlignment="1">
      <alignment horizontal="center"/>
    </xf>
    <xf numFmtId="10" fontId="25" fillId="6" borderId="9" xfId="11" applyNumberFormat="1" applyFont="1" applyFill="1" applyBorder="1" applyAlignment="1">
      <alignment horizontal="center"/>
    </xf>
    <xf numFmtId="0" fontId="41" fillId="6" borderId="9" xfId="18" applyFont="1" applyFill="1" applyBorder="1" applyAlignment="1">
      <alignment horizontal="center" vertical="center" wrapText="1"/>
    </xf>
    <xf numFmtId="0" fontId="62" fillId="6" borderId="9" xfId="18" applyFont="1" applyFill="1" applyBorder="1" applyAlignment="1">
      <alignment horizontal="center" vertical="center" wrapText="1"/>
    </xf>
    <xf numFmtId="0" fontId="25" fillId="0" borderId="9" xfId="14" applyFont="1" applyBorder="1" applyAlignment="1">
      <alignment horizontal="center" vertical="center"/>
    </xf>
    <xf numFmtId="0" fontId="25" fillId="0" borderId="9" xfId="14" applyFont="1" applyBorder="1" applyAlignment="1">
      <alignment horizontal="center"/>
    </xf>
    <xf numFmtId="1" fontId="24" fillId="0" borderId="9" xfId="14" applyNumberFormat="1" applyBorder="1" applyAlignment="1">
      <alignment horizontal="left"/>
    </xf>
    <xf numFmtId="10" fontId="24" fillId="6" borderId="9" xfId="11" applyNumberFormat="1" applyFont="1" applyFill="1" applyBorder="1" applyAlignment="1">
      <alignment horizontal="center"/>
    </xf>
    <xf numFmtId="0" fontId="24" fillId="0" borderId="26" xfId="14" applyBorder="1" applyAlignment="1">
      <alignment horizontal="center"/>
    </xf>
    <xf numFmtId="0" fontId="24" fillId="0" borderId="0" xfId="14" applyAlignment="1">
      <alignment horizontal="center"/>
    </xf>
    <xf numFmtId="0" fontId="24" fillId="0" borderId="27" xfId="14" applyBorder="1" applyAlignment="1">
      <alignment horizontal="center"/>
    </xf>
    <xf numFmtId="0" fontId="52" fillId="6" borderId="9" xfId="14" applyFont="1" applyFill="1" applyBorder="1" applyAlignment="1">
      <alignment horizontal="center" vertical="center" wrapText="1"/>
    </xf>
    <xf numFmtId="10" fontId="25" fillId="6" borderId="2" xfId="11" applyNumberFormat="1" applyFont="1" applyFill="1" applyBorder="1" applyAlignment="1">
      <alignment horizontal="center" vertical="center"/>
    </xf>
    <xf numFmtId="10" fontId="25" fillId="6" borderId="3" xfId="11" applyNumberFormat="1" applyFont="1" applyFill="1" applyBorder="1" applyAlignment="1">
      <alignment horizontal="center" vertical="center"/>
    </xf>
    <xf numFmtId="10" fontId="25" fillId="6" borderId="6" xfId="11" applyNumberFormat="1" applyFont="1" applyFill="1" applyBorder="1" applyAlignment="1">
      <alignment horizontal="center" vertical="center"/>
    </xf>
    <xf numFmtId="10" fontId="25" fillId="6" borderId="8" xfId="11" applyNumberFormat="1" applyFont="1" applyFill="1" applyBorder="1" applyAlignment="1">
      <alignment horizontal="center" vertical="center"/>
    </xf>
    <xf numFmtId="10" fontId="24" fillId="0" borderId="9" xfId="11" applyNumberFormat="1" applyFont="1" applyBorder="1" applyAlignment="1">
      <alignment horizontal="center" vertical="center"/>
    </xf>
    <xf numFmtId="10" fontId="24" fillId="6" borderId="9" xfId="11" applyNumberFormat="1" applyFont="1" applyFill="1" applyBorder="1" applyAlignment="1">
      <alignment horizontal="center" vertical="center"/>
    </xf>
    <xf numFmtId="1" fontId="25" fillId="0" borderId="90" xfId="14" applyNumberFormat="1" applyFont="1" applyBorder="1" applyAlignment="1">
      <alignment horizontal="center" vertical="center"/>
    </xf>
    <xf numFmtId="1" fontId="25" fillId="0" borderId="89" xfId="14" applyNumberFormat="1" applyFont="1" applyBorder="1" applyAlignment="1">
      <alignment horizontal="center" vertical="center"/>
    </xf>
    <xf numFmtId="1" fontId="25" fillId="0" borderId="88" xfId="14" applyNumberFormat="1" applyFont="1" applyBorder="1" applyAlignment="1">
      <alignment horizontal="center" vertical="center"/>
    </xf>
    <xf numFmtId="0" fontId="24" fillId="0" borderId="89" xfId="14" applyBorder="1" applyAlignment="1">
      <alignment horizontal="left" vertical="center"/>
    </xf>
    <xf numFmtId="0" fontId="24" fillId="0" borderId="88" xfId="14" applyBorder="1" applyAlignment="1">
      <alignment horizontal="left" vertical="center"/>
    </xf>
    <xf numFmtId="1" fontId="25" fillId="0" borderId="26" xfId="14" applyNumberFormat="1" applyFont="1" applyBorder="1" applyAlignment="1">
      <alignment horizontal="center" vertical="center"/>
    </xf>
    <xf numFmtId="1" fontId="25" fillId="0" borderId="0" xfId="14" applyNumberFormat="1" applyFont="1" applyAlignment="1">
      <alignment horizontal="center" vertical="center"/>
    </xf>
    <xf numFmtId="1" fontId="25" fillId="0" borderId="27" xfId="14" applyNumberFormat="1" applyFont="1" applyBorder="1" applyAlignment="1">
      <alignment horizontal="center" vertical="center"/>
    </xf>
    <xf numFmtId="0" fontId="52" fillId="0" borderId="9" xfId="14" applyFont="1" applyBorder="1" applyAlignment="1">
      <alignment horizontal="center" vertical="center"/>
    </xf>
    <xf numFmtId="0" fontId="52" fillId="0" borderId="0" xfId="14" applyFont="1" applyAlignment="1">
      <alignment horizontal="right" vertical="center"/>
    </xf>
    <xf numFmtId="0" fontId="24" fillId="0" borderId="7" xfId="14" applyBorder="1" applyAlignment="1">
      <alignment horizontal="center" vertical="center"/>
    </xf>
    <xf numFmtId="0" fontId="24" fillId="0" borderId="0" xfId="14" applyAlignment="1">
      <alignment horizontal="left" vertical="center"/>
    </xf>
    <xf numFmtId="40" fontId="24" fillId="0" borderId="0" xfId="14" applyNumberFormat="1" applyAlignment="1">
      <alignment horizontal="center" vertical="center"/>
    </xf>
    <xf numFmtId="17" fontId="25" fillId="0" borderId="7" xfId="14" applyNumberFormat="1" applyFont="1" applyBorder="1" applyAlignment="1">
      <alignment horizontal="left"/>
    </xf>
    <xf numFmtId="0" fontId="25" fillId="0" borderId="7" xfId="14" applyFont="1" applyBorder="1" applyAlignment="1">
      <alignment horizontal="left"/>
    </xf>
    <xf numFmtId="0" fontId="25" fillId="0" borderId="8" xfId="14" applyFont="1" applyBorder="1" applyAlignment="1">
      <alignment horizontal="left"/>
    </xf>
    <xf numFmtId="0" fontId="41" fillId="0" borderId="2" xfId="14" applyFont="1" applyBorder="1" applyAlignment="1">
      <alignment horizontal="center"/>
    </xf>
    <xf numFmtId="0" fontId="41" fillId="0" borderId="1" xfId="14" applyFont="1" applyBorder="1" applyAlignment="1">
      <alignment horizontal="center"/>
    </xf>
    <xf numFmtId="0" fontId="41" fillId="0" borderId="3" xfId="14" applyFont="1" applyBorder="1" applyAlignment="1">
      <alignment horizontal="center"/>
    </xf>
    <xf numFmtId="0" fontId="26" fillId="0" borderId="4" xfId="14" applyFont="1" applyBorder="1" applyAlignment="1">
      <alignment horizontal="center"/>
    </xf>
    <xf numFmtId="0" fontId="26" fillId="0" borderId="0" xfId="14" applyFont="1" applyAlignment="1">
      <alignment horizontal="center"/>
    </xf>
    <xf numFmtId="0" fontId="26" fillId="0" borderId="5" xfId="14" applyFont="1" applyBorder="1" applyAlignment="1">
      <alignment horizontal="center"/>
    </xf>
    <xf numFmtId="0" fontId="27" fillId="0" borderId="4" xfId="14" applyFont="1" applyBorder="1" applyAlignment="1">
      <alignment horizontal="center"/>
    </xf>
    <xf numFmtId="0" fontId="27" fillId="0" borderId="0" xfId="14" applyFont="1" applyAlignment="1">
      <alignment horizontal="center"/>
    </xf>
    <xf numFmtId="0" fontId="27" fillId="0" borderId="5" xfId="14" applyFont="1" applyBorder="1" applyAlignment="1">
      <alignment horizontal="center"/>
    </xf>
    <xf numFmtId="0" fontId="27" fillId="0" borderId="6" xfId="14" applyFont="1" applyBorder="1" applyAlignment="1">
      <alignment horizontal="center"/>
    </xf>
    <xf numFmtId="0" fontId="27" fillId="0" borderId="7" xfId="14" applyFont="1" applyBorder="1" applyAlignment="1">
      <alignment horizontal="center"/>
    </xf>
    <xf numFmtId="0" fontId="27" fillId="0" borderId="8" xfId="14" applyFont="1" applyBorder="1" applyAlignment="1">
      <alignment horizontal="center"/>
    </xf>
    <xf numFmtId="0" fontId="25" fillId="0" borderId="1" xfId="14" applyFont="1" applyBorder="1" applyAlignment="1">
      <alignment horizontal="left"/>
    </xf>
    <xf numFmtId="0" fontId="25" fillId="0" borderId="3" xfId="14" applyFont="1" applyBorder="1" applyAlignment="1">
      <alignment horizontal="left"/>
    </xf>
    <xf numFmtId="0" fontId="25" fillId="0" borderId="0" xfId="14" applyFont="1" applyAlignment="1">
      <alignment horizontal="left"/>
    </xf>
    <xf numFmtId="0" fontId="25" fillId="0" borderId="5" xfId="14" applyFont="1" applyBorder="1" applyAlignment="1">
      <alignment horizontal="left"/>
    </xf>
    <xf numFmtId="177" fontId="25" fillId="0" borderId="9" xfId="15" applyFont="1" applyBorder="1" applyAlignment="1">
      <alignment horizontal="center" vertical="center"/>
    </xf>
    <xf numFmtId="0" fontId="24" fillId="0" borderId="26" xfId="14" applyBorder="1" applyAlignment="1">
      <alignment horizontal="center" vertical="center"/>
    </xf>
    <xf numFmtId="0" fontId="24" fillId="0" borderId="0" xfId="14" applyAlignment="1">
      <alignment horizontal="center" vertical="center"/>
    </xf>
    <xf numFmtId="0" fontId="24" fillId="0" borderId="27" xfId="14" applyBorder="1" applyAlignment="1">
      <alignment horizontal="center" vertical="center"/>
    </xf>
    <xf numFmtId="0" fontId="51" fillId="6" borderId="21" xfId="1" applyFont="1" applyFill="1" applyBorder="1" applyAlignment="1">
      <alignment horizontal="center" vertical="center"/>
    </xf>
    <xf numFmtId="0" fontId="51" fillId="6" borderId="31" xfId="1" applyFont="1" applyFill="1" applyBorder="1" applyAlignment="1">
      <alignment horizontal="center" vertical="center"/>
    </xf>
    <xf numFmtId="0" fontId="52" fillId="12" borderId="52" xfId="1" applyFont="1" applyFill="1" applyBorder="1" applyAlignment="1">
      <alignment horizontal="center" vertical="center"/>
    </xf>
    <xf numFmtId="0" fontId="52" fillId="12" borderId="53" xfId="1" applyFont="1" applyFill="1" applyBorder="1" applyAlignment="1">
      <alignment horizontal="center" vertical="center"/>
    </xf>
    <xf numFmtId="0" fontId="25" fillId="12" borderId="2" xfId="1" applyFont="1" applyFill="1" applyBorder="1" applyAlignment="1">
      <alignment horizontal="center" vertical="center"/>
    </xf>
    <xf numFmtId="0" fontId="25" fillId="12" borderId="1" xfId="1" applyFont="1" applyFill="1" applyBorder="1" applyAlignment="1">
      <alignment horizontal="center" vertical="center"/>
    </xf>
    <xf numFmtId="0" fontId="25" fillId="12" borderId="6" xfId="1" applyFont="1" applyFill="1" applyBorder="1" applyAlignment="1">
      <alignment horizontal="center" vertical="center"/>
    </xf>
    <xf numFmtId="0" fontId="25" fillId="12" borderId="7" xfId="1" applyFont="1" applyFill="1" applyBorder="1" applyAlignment="1">
      <alignment horizontal="center" vertical="center"/>
    </xf>
    <xf numFmtId="168" fontId="25" fillId="12" borderId="21" xfId="1" applyNumberFormat="1" applyFont="1" applyFill="1" applyBorder="1" applyAlignment="1">
      <alignment horizontal="center" vertical="center"/>
    </xf>
    <xf numFmtId="168" fontId="25" fillId="12" borderId="22" xfId="1" applyNumberFormat="1" applyFont="1" applyFill="1" applyBorder="1" applyAlignment="1">
      <alignment horizontal="center" vertical="center"/>
    </xf>
    <xf numFmtId="0" fontId="56" fillId="0" borderId="52" xfId="1" applyFont="1" applyBorder="1" applyAlignment="1">
      <alignment horizontal="center" vertical="center"/>
    </xf>
    <xf numFmtId="0" fontId="56" fillId="0" borderId="61" xfId="1" applyFont="1" applyBorder="1" applyAlignment="1">
      <alignment horizontal="center" vertical="center"/>
    </xf>
    <xf numFmtId="0" fontId="56" fillId="6" borderId="2" xfId="1" applyFont="1" applyFill="1" applyBorder="1" applyAlignment="1">
      <alignment horizontal="left" vertical="center"/>
    </xf>
    <xf numFmtId="0" fontId="56" fillId="6" borderId="1" xfId="1" applyFont="1" applyFill="1" applyBorder="1" applyAlignment="1">
      <alignment horizontal="left" vertical="center"/>
    </xf>
    <xf numFmtId="0" fontId="56" fillId="6" borderId="62" xfId="1" applyFont="1" applyFill="1" applyBorder="1" applyAlignment="1">
      <alignment horizontal="left" vertical="center"/>
    </xf>
    <xf numFmtId="0" fontId="56" fillId="6" borderId="63" xfId="1" applyFont="1" applyFill="1" applyBorder="1" applyAlignment="1">
      <alignment horizontal="left" vertical="center"/>
    </xf>
    <xf numFmtId="4" fontId="24" fillId="6" borderId="52" xfId="1" applyNumberFormat="1" applyFill="1" applyBorder="1" applyAlignment="1">
      <alignment horizontal="center" vertical="center"/>
    </xf>
    <xf numFmtId="4" fontId="24" fillId="6" borderId="61" xfId="1" applyNumberFormat="1" applyFill="1" applyBorder="1" applyAlignment="1">
      <alignment horizontal="center" vertical="center"/>
    </xf>
    <xf numFmtId="4" fontId="56" fillId="6" borderId="52" xfId="1" applyNumberFormat="1" applyFont="1" applyFill="1" applyBorder="1" applyAlignment="1">
      <alignment horizontal="center" vertical="center"/>
    </xf>
    <xf numFmtId="4" fontId="56" fillId="6" borderId="61" xfId="1" applyNumberFormat="1" applyFont="1" applyFill="1" applyBorder="1" applyAlignment="1">
      <alignment horizontal="center" vertical="center"/>
    </xf>
    <xf numFmtId="4" fontId="56" fillId="0" borderId="52" xfId="1" applyNumberFormat="1" applyFont="1" applyBorder="1" applyAlignment="1">
      <alignment horizontal="center" vertical="center"/>
    </xf>
    <xf numFmtId="4" fontId="56" fillId="0" borderId="61" xfId="1" applyNumberFormat="1" applyFont="1" applyBorder="1" applyAlignment="1">
      <alignment horizontal="center" vertical="center"/>
    </xf>
    <xf numFmtId="0" fontId="56" fillId="6" borderId="52" xfId="1" applyFont="1" applyFill="1" applyBorder="1" applyAlignment="1">
      <alignment horizontal="center" vertical="center"/>
    </xf>
    <xf numFmtId="0" fontId="56" fillId="6" borderId="53" xfId="1" applyFont="1" applyFill="1" applyBorder="1" applyAlignment="1">
      <alignment horizontal="center" vertical="center"/>
    </xf>
    <xf numFmtId="0" fontId="5" fillId="0" borderId="1" xfId="2" applyBorder="1" applyAlignment="1">
      <alignment horizontal="left" vertical="center"/>
    </xf>
    <xf numFmtId="0" fontId="5" fillId="0" borderId="0" xfId="2" applyAlignment="1">
      <alignment horizontal="left" vertical="center"/>
    </xf>
    <xf numFmtId="49" fontId="26" fillId="12" borderId="21" xfId="1" applyNumberFormat="1" applyFont="1" applyFill="1" applyBorder="1" applyAlignment="1">
      <alignment horizontal="center" vertical="center"/>
    </xf>
    <xf numFmtId="49" fontId="26" fillId="12" borderId="31" xfId="1" applyNumberFormat="1" applyFont="1" applyFill="1" applyBorder="1" applyAlignment="1">
      <alignment horizontal="center" vertical="center"/>
    </xf>
    <xf numFmtId="0" fontId="56" fillId="0" borderId="2" xfId="1" applyFont="1" applyBorder="1" applyAlignment="1">
      <alignment horizontal="left" vertical="center"/>
    </xf>
    <xf numFmtId="0" fontId="56" fillId="0" borderId="1" xfId="1" applyFont="1" applyBorder="1" applyAlignment="1">
      <alignment horizontal="left" vertical="center"/>
    </xf>
    <xf numFmtId="0" fontId="51" fillId="6" borderId="22" xfId="1" applyFont="1" applyFill="1" applyBorder="1" applyAlignment="1">
      <alignment horizontal="center" vertical="center"/>
    </xf>
    <xf numFmtId="0" fontId="52" fillId="12" borderId="54" xfId="1" applyFont="1" applyFill="1" applyBorder="1" applyAlignment="1">
      <alignment horizontal="center" vertical="center"/>
    </xf>
    <xf numFmtId="0" fontId="25" fillId="12" borderId="4" xfId="1" applyFont="1" applyFill="1" applyBorder="1" applyAlignment="1">
      <alignment horizontal="center" vertical="center"/>
    </xf>
    <xf numFmtId="0" fontId="25" fillId="12" borderId="0" xfId="1" applyFont="1" applyFill="1" applyAlignment="1">
      <alignment horizontal="center" vertical="center"/>
    </xf>
    <xf numFmtId="170" fontId="52" fillId="12" borderId="52" xfId="5" applyNumberFormat="1" applyFont="1" applyFill="1" applyBorder="1" applyAlignment="1">
      <alignment horizontal="center" vertical="center"/>
    </xf>
    <xf numFmtId="170" fontId="52" fillId="12" borderId="54" xfId="5" applyNumberFormat="1" applyFont="1" applyFill="1" applyBorder="1" applyAlignment="1">
      <alignment horizontal="center" vertical="center"/>
    </xf>
    <xf numFmtId="170" fontId="52" fillId="12" borderId="52" xfId="5" applyNumberFormat="1" applyFont="1" applyFill="1" applyBorder="1" applyAlignment="1">
      <alignment horizontal="center" vertical="center" wrapText="1"/>
    </xf>
    <xf numFmtId="170" fontId="52" fillId="12" borderId="54" xfId="5" applyNumberFormat="1" applyFont="1" applyFill="1" applyBorder="1" applyAlignment="1">
      <alignment horizontal="center" vertical="center" wrapText="1"/>
    </xf>
    <xf numFmtId="49" fontId="26" fillId="12" borderId="21" xfId="1" applyNumberFormat="1" applyFont="1" applyFill="1" applyBorder="1" applyAlignment="1">
      <alignment horizontal="right" vertical="center"/>
    </xf>
    <xf numFmtId="49" fontId="26" fillId="12" borderId="31" xfId="1" applyNumberFormat="1" applyFont="1" applyFill="1" applyBorder="1" applyAlignment="1">
      <alignment horizontal="right" vertical="center"/>
    </xf>
    <xf numFmtId="165" fontId="33" fillId="0" borderId="0" xfId="4" applyNumberFormat="1" applyFont="1" applyAlignment="1">
      <alignment horizontal="left" vertical="top"/>
    </xf>
    <xf numFmtId="0" fontId="31" fillId="0" borderId="0" xfId="4"/>
    <xf numFmtId="0" fontId="38" fillId="5" borderId="4" xfId="5" applyFont="1" applyFill="1" applyBorder="1" applyAlignment="1">
      <alignment horizontal="center" vertical="center"/>
    </xf>
    <xf numFmtId="0" fontId="38" fillId="5" borderId="0" xfId="5" applyFont="1" applyFill="1" applyAlignment="1">
      <alignment horizontal="center" vertical="center"/>
    </xf>
    <xf numFmtId="0" fontId="56" fillId="0" borderId="1" xfId="1" applyFont="1" applyBorder="1" applyAlignment="1">
      <alignment horizontal="left" vertical="center" wrapText="1"/>
    </xf>
    <xf numFmtId="0" fontId="56" fillId="0" borderId="7" xfId="1" applyFont="1" applyBorder="1" applyAlignment="1">
      <alignment horizontal="left" vertical="center" wrapText="1"/>
    </xf>
    <xf numFmtId="170" fontId="52" fillId="12" borderId="21" xfId="5" applyNumberFormat="1" applyFont="1" applyFill="1" applyBorder="1" applyAlignment="1">
      <alignment horizontal="center" vertical="center"/>
    </xf>
    <xf numFmtId="170" fontId="52" fillId="12" borderId="31" xfId="5" applyNumberFormat="1" applyFont="1" applyFill="1" applyBorder="1" applyAlignment="1">
      <alignment horizontal="center" vertical="center"/>
    </xf>
    <xf numFmtId="170" fontId="52" fillId="12" borderId="22" xfId="5" applyNumberFormat="1" applyFont="1" applyFill="1" applyBorder="1" applyAlignment="1">
      <alignment horizontal="center" vertical="center"/>
    </xf>
    <xf numFmtId="0" fontId="3" fillId="0" borderId="31" xfId="12" applyBorder="1" applyAlignment="1">
      <alignment horizontal="left" vertical="center" wrapText="1"/>
    </xf>
    <xf numFmtId="2" fontId="42" fillId="6" borderId="74" xfId="13" applyNumberFormat="1" applyFont="1" applyFill="1" applyBorder="1" applyAlignment="1">
      <alignment horizontal="left" vertical="center"/>
    </xf>
    <xf numFmtId="2" fontId="42" fillId="6" borderId="75" xfId="13" applyNumberFormat="1" applyFont="1" applyFill="1" applyBorder="1" applyAlignment="1">
      <alignment horizontal="left" vertical="center"/>
    </xf>
    <xf numFmtId="2" fontId="42" fillId="6" borderId="63" xfId="13" applyNumberFormat="1" applyFont="1" applyFill="1" applyBorder="1" applyAlignment="1">
      <alignment horizontal="left" vertical="center"/>
    </xf>
    <xf numFmtId="173" fontId="42" fillId="0" borderId="78" xfId="6" applyNumberFormat="1" applyFont="1" applyBorder="1" applyAlignment="1">
      <alignment horizontal="center"/>
    </xf>
    <xf numFmtId="173" fontId="42" fillId="0" borderId="66" xfId="6" applyNumberFormat="1" applyFont="1" applyBorder="1" applyAlignment="1">
      <alignment horizontal="center"/>
    </xf>
    <xf numFmtId="173" fontId="42" fillId="0" borderId="77" xfId="6" applyNumberFormat="1" applyFont="1" applyBorder="1" applyAlignment="1">
      <alignment horizontal="center"/>
    </xf>
    <xf numFmtId="0" fontId="26" fillId="0" borderId="80" xfId="6" applyFont="1" applyBorder="1" applyAlignment="1">
      <alignment horizontal="right" vertical="center"/>
    </xf>
    <xf numFmtId="0" fontId="26" fillId="0" borderId="81" xfId="6" applyFont="1" applyBorder="1" applyAlignment="1">
      <alignment horizontal="right" vertical="center"/>
    </xf>
    <xf numFmtId="174" fontId="26" fillId="18" borderId="70" xfId="5" applyNumberFormat="1" applyFont="1" applyFill="1" applyBorder="1" applyAlignment="1">
      <alignment horizontal="center" vertical="center"/>
    </xf>
    <xf numFmtId="174" fontId="26" fillId="18" borderId="71" xfId="5" applyNumberFormat="1" applyFont="1" applyFill="1" applyBorder="1" applyAlignment="1">
      <alignment horizontal="center" vertical="center"/>
    </xf>
    <xf numFmtId="174" fontId="26" fillId="18" borderId="72" xfId="5" applyNumberFormat="1" applyFont="1" applyFill="1" applyBorder="1" applyAlignment="1">
      <alignment horizontal="center" vertical="center"/>
    </xf>
    <xf numFmtId="0" fontId="51" fillId="12" borderId="23" xfId="12" applyFont="1" applyFill="1" applyBorder="1" applyAlignment="1">
      <alignment horizontal="center"/>
    </xf>
    <xf numFmtId="0" fontId="51" fillId="12" borderId="24" xfId="12" applyFont="1" applyFill="1" applyBorder="1" applyAlignment="1">
      <alignment horizontal="center"/>
    </xf>
    <xf numFmtId="0" fontId="51" fillId="12" borderId="25" xfId="12" applyFont="1" applyFill="1" applyBorder="1" applyAlignment="1">
      <alignment horizontal="center"/>
    </xf>
    <xf numFmtId="2" fontId="56" fillId="5" borderId="21" xfId="1" applyNumberFormat="1" applyFont="1" applyFill="1" applyBorder="1" applyAlignment="1">
      <alignment horizontal="center" vertical="center"/>
    </xf>
    <xf numFmtId="2" fontId="56" fillId="5" borderId="31" xfId="1" applyNumberFormat="1" applyFont="1" applyFill="1" applyBorder="1" applyAlignment="1">
      <alignment horizontal="center" vertical="center"/>
    </xf>
    <xf numFmtId="2" fontId="56" fillId="5" borderId="22" xfId="1" applyNumberFormat="1" applyFont="1" applyFill="1" applyBorder="1" applyAlignment="1">
      <alignment horizontal="center" vertical="center"/>
    </xf>
    <xf numFmtId="2" fontId="56" fillId="6" borderId="21" xfId="1" applyNumberFormat="1" applyFont="1" applyFill="1" applyBorder="1" applyAlignment="1">
      <alignment horizontal="center" vertical="center"/>
    </xf>
    <xf numFmtId="2" fontId="56" fillId="6" borderId="31" xfId="1" applyNumberFormat="1" applyFont="1" applyFill="1" applyBorder="1" applyAlignment="1">
      <alignment horizontal="center" vertical="center"/>
    </xf>
    <xf numFmtId="2" fontId="56" fillId="6" borderId="22" xfId="1" applyNumberFormat="1" applyFont="1" applyFill="1" applyBorder="1" applyAlignment="1">
      <alignment horizontal="center" vertical="center"/>
    </xf>
    <xf numFmtId="0" fontId="56" fillId="6" borderId="21" xfId="1" applyFont="1" applyFill="1" applyBorder="1" applyAlignment="1">
      <alignment horizontal="center" vertical="center"/>
    </xf>
    <xf numFmtId="0" fontId="56" fillId="6" borderId="31" xfId="1" applyFont="1" applyFill="1" applyBorder="1" applyAlignment="1">
      <alignment horizontal="center" vertical="center"/>
    </xf>
    <xf numFmtId="0" fontId="56" fillId="6" borderId="22" xfId="1" applyFont="1" applyFill="1" applyBorder="1" applyAlignment="1">
      <alignment horizontal="center" vertical="center"/>
    </xf>
    <xf numFmtId="4" fontId="26" fillId="12" borderId="9" xfId="1" applyNumberFormat="1" applyFont="1" applyFill="1" applyBorder="1" applyAlignment="1">
      <alignment horizontal="center" vertical="center"/>
    </xf>
    <xf numFmtId="0" fontId="58" fillId="12" borderId="21" xfId="1" applyFont="1" applyFill="1" applyBorder="1" applyAlignment="1">
      <alignment horizontal="right" vertical="center" wrapText="1"/>
    </xf>
    <xf numFmtId="0" fontId="58" fillId="12" borderId="31" xfId="1" applyFont="1" applyFill="1" applyBorder="1" applyAlignment="1">
      <alignment horizontal="right" vertical="center" wrapText="1"/>
    </xf>
    <xf numFmtId="0" fontId="58" fillId="12" borderId="22" xfId="1" applyFont="1" applyFill="1" applyBorder="1" applyAlignment="1">
      <alignment horizontal="right" vertical="center" wrapText="1"/>
    </xf>
    <xf numFmtId="4" fontId="58" fillId="12" borderId="21" xfId="1" applyNumberFormat="1" applyFont="1" applyFill="1" applyBorder="1" applyAlignment="1">
      <alignment horizontal="right" vertical="center"/>
    </xf>
    <xf numFmtId="0" fontId="58" fillId="12" borderId="31" xfId="1" applyFont="1" applyFill="1" applyBorder="1" applyAlignment="1">
      <alignment horizontal="right" vertical="center"/>
    </xf>
    <xf numFmtId="170" fontId="52" fillId="12" borderId="2" xfId="5" applyNumberFormat="1" applyFont="1" applyFill="1" applyBorder="1" applyAlignment="1">
      <alignment horizontal="center" vertical="center"/>
    </xf>
    <xf numFmtId="170" fontId="52" fillId="12" borderId="1" xfId="5" applyNumberFormat="1" applyFont="1" applyFill="1" applyBorder="1" applyAlignment="1">
      <alignment horizontal="center" vertical="center"/>
    </xf>
    <xf numFmtId="170" fontId="52" fillId="12" borderId="3" xfId="5" applyNumberFormat="1" applyFont="1" applyFill="1" applyBorder="1" applyAlignment="1">
      <alignment horizontal="center" vertical="center"/>
    </xf>
    <xf numFmtId="170" fontId="52" fillId="12" borderId="6" xfId="5" applyNumberFormat="1" applyFont="1" applyFill="1" applyBorder="1" applyAlignment="1">
      <alignment horizontal="center" vertical="center"/>
    </xf>
    <xf numFmtId="170" fontId="52" fillId="12" borderId="7" xfId="5" applyNumberFormat="1" applyFont="1" applyFill="1" applyBorder="1" applyAlignment="1">
      <alignment horizontal="center" vertical="center"/>
    </xf>
    <xf numFmtId="170" fontId="52" fillId="12" borderId="8" xfId="5" applyNumberFormat="1" applyFont="1" applyFill="1" applyBorder="1" applyAlignment="1">
      <alignment horizontal="center" vertical="center"/>
    </xf>
    <xf numFmtId="0" fontId="56" fillId="0" borderId="21" xfId="1" applyFont="1" applyBorder="1" applyAlignment="1">
      <alignment horizontal="left" vertical="center"/>
    </xf>
    <xf numFmtId="0" fontId="56" fillId="0" borderId="22" xfId="1" applyFont="1" applyBorder="1" applyAlignment="1">
      <alignment horizontal="left" vertical="center"/>
    </xf>
    <xf numFmtId="170" fontId="52" fillId="0" borderId="2" xfId="5" applyNumberFormat="1" applyFont="1" applyBorder="1" applyAlignment="1">
      <alignment horizontal="left" vertical="top" wrapText="1"/>
    </xf>
    <xf numFmtId="170" fontId="52" fillId="0" borderId="1" xfId="5" applyNumberFormat="1" applyFont="1" applyBorder="1" applyAlignment="1">
      <alignment horizontal="left" vertical="top" wrapText="1"/>
    </xf>
    <xf numFmtId="170" fontId="52" fillId="0" borderId="4" xfId="5" applyNumberFormat="1" applyFont="1" applyBorder="1" applyAlignment="1">
      <alignment horizontal="left" vertical="top" wrapText="1"/>
    </xf>
    <xf numFmtId="170" fontId="52" fillId="0" borderId="0" xfId="5" applyNumberFormat="1" applyFont="1" applyAlignment="1">
      <alignment horizontal="left" vertical="top" wrapText="1"/>
    </xf>
    <xf numFmtId="170" fontId="52" fillId="0" borderId="6" xfId="5" applyNumberFormat="1" applyFont="1" applyBorder="1" applyAlignment="1">
      <alignment horizontal="left" vertical="top" wrapText="1"/>
    </xf>
    <xf numFmtId="170" fontId="52" fillId="0" borderId="7" xfId="5" applyNumberFormat="1" applyFont="1" applyBorder="1" applyAlignment="1">
      <alignment horizontal="left" vertical="top" wrapText="1"/>
    </xf>
    <xf numFmtId="0" fontId="25" fillId="12" borderId="3" xfId="1" applyFont="1" applyFill="1" applyBorder="1" applyAlignment="1">
      <alignment horizontal="center" vertical="center"/>
    </xf>
    <xf numFmtId="0" fontId="25" fillId="12" borderId="8" xfId="1" applyFont="1" applyFill="1" applyBorder="1" applyAlignment="1">
      <alignment horizontal="center" vertical="center"/>
    </xf>
    <xf numFmtId="0" fontId="58" fillId="12" borderId="21" xfId="1" applyFont="1" applyFill="1" applyBorder="1" applyAlignment="1">
      <alignment horizontal="right" vertical="center"/>
    </xf>
    <xf numFmtId="2" fontId="58" fillId="12" borderId="31" xfId="1" applyNumberFormat="1" applyFont="1" applyFill="1" applyBorder="1" applyAlignment="1">
      <alignment horizontal="center" vertical="center"/>
    </xf>
    <xf numFmtId="0" fontId="58" fillId="12" borderId="22" xfId="1" applyFont="1" applyFill="1" applyBorder="1" applyAlignment="1">
      <alignment horizontal="center" vertical="center"/>
    </xf>
    <xf numFmtId="4" fontId="58" fillId="12" borderId="31" xfId="1" applyNumberFormat="1" applyFont="1" applyFill="1" applyBorder="1" applyAlignment="1">
      <alignment horizontal="center" vertical="center"/>
    </xf>
    <xf numFmtId="0" fontId="56" fillId="5" borderId="21" xfId="1" applyFont="1" applyFill="1" applyBorder="1" applyAlignment="1">
      <alignment horizontal="center" vertical="center"/>
    </xf>
    <xf numFmtId="0" fontId="56" fillId="5" borderId="31" xfId="1" applyFont="1" applyFill="1" applyBorder="1" applyAlignment="1">
      <alignment horizontal="center" vertical="center"/>
    </xf>
    <xf numFmtId="0" fontId="56" fillId="5" borderId="22" xfId="1" applyFont="1" applyFill="1" applyBorder="1" applyAlignment="1">
      <alignment horizontal="center" vertical="center"/>
    </xf>
    <xf numFmtId="2" fontId="26" fillId="12" borderId="21" xfId="1" applyNumberFormat="1" applyFont="1" applyFill="1" applyBorder="1" applyAlignment="1">
      <alignment horizontal="center" vertical="center"/>
    </xf>
    <xf numFmtId="2" fontId="26" fillId="12" borderId="31" xfId="1" applyNumberFormat="1" applyFont="1" applyFill="1" applyBorder="1" applyAlignment="1">
      <alignment horizontal="center" vertical="center"/>
    </xf>
    <xf numFmtId="2" fontId="26" fillId="12" borderId="22" xfId="1" applyNumberFormat="1" applyFont="1" applyFill="1" applyBorder="1" applyAlignment="1">
      <alignment horizontal="center" vertical="center"/>
    </xf>
    <xf numFmtId="49" fontId="26" fillId="12" borderId="22" xfId="1" applyNumberFormat="1" applyFont="1" applyFill="1" applyBorder="1" applyAlignment="1">
      <alignment horizontal="center" vertical="center"/>
    </xf>
    <xf numFmtId="172" fontId="56" fillId="5" borderId="21" xfId="1" applyNumberFormat="1" applyFont="1" applyFill="1" applyBorder="1" applyAlignment="1">
      <alignment horizontal="center" vertical="center"/>
    </xf>
    <xf numFmtId="172" fontId="56" fillId="5" borderId="31" xfId="1" applyNumberFormat="1" applyFont="1" applyFill="1" applyBorder="1" applyAlignment="1">
      <alignment horizontal="center" vertical="center"/>
    </xf>
    <xf numFmtId="172" fontId="56" fillId="5" borderId="22" xfId="1" applyNumberFormat="1" applyFont="1" applyFill="1" applyBorder="1" applyAlignment="1">
      <alignment horizontal="center" vertical="center"/>
    </xf>
    <xf numFmtId="167" fontId="41" fillId="6" borderId="30" xfId="7" applyNumberFormat="1" applyFont="1" applyFill="1" applyBorder="1" applyAlignment="1">
      <alignment horizontal="center" vertical="center"/>
    </xf>
    <xf numFmtId="167" fontId="41" fillId="6" borderId="31" xfId="7" applyNumberFormat="1" applyFont="1" applyFill="1" applyBorder="1" applyAlignment="1">
      <alignment horizontal="center" vertical="center"/>
    </xf>
    <xf numFmtId="167" fontId="41" fillId="6" borderId="32" xfId="7" applyNumberFormat="1" applyFont="1" applyFill="1" applyBorder="1" applyAlignment="1">
      <alignment horizontal="center" vertical="center"/>
    </xf>
    <xf numFmtId="0" fontId="25" fillId="0" borderId="34" xfId="7" applyFont="1" applyBorder="1" applyAlignment="1">
      <alignment horizontal="left" vertical="center"/>
    </xf>
    <xf numFmtId="0" fontId="25" fillId="0" borderId="35" xfId="7" applyFont="1" applyBorder="1" applyAlignment="1">
      <alignment horizontal="left" vertical="center"/>
    </xf>
    <xf numFmtId="0" fontId="25" fillId="0" borderId="36" xfId="7" applyFont="1" applyBorder="1" applyAlignment="1">
      <alignment horizontal="left" vertical="center"/>
    </xf>
    <xf numFmtId="0" fontId="25" fillId="0" borderId="38" xfId="7" applyFont="1" applyBorder="1" applyAlignment="1">
      <alignment horizontal="left" vertical="center"/>
    </xf>
    <xf numFmtId="0" fontId="25" fillId="0" borderId="39" xfId="7" applyFont="1" applyBorder="1" applyAlignment="1">
      <alignment horizontal="left" vertical="center"/>
    </xf>
    <xf numFmtId="0" fontId="25" fillId="0" borderId="40" xfId="7" applyFont="1" applyBorder="1" applyAlignment="1">
      <alignment horizontal="left" vertical="center"/>
    </xf>
    <xf numFmtId="0" fontId="24" fillId="0" borderId="41" xfId="7" applyBorder="1" applyAlignment="1">
      <alignment horizontal="center" vertical="center"/>
    </xf>
    <xf numFmtId="0" fontId="24" fillId="0" borderId="42" xfId="7" applyBorder="1" applyAlignment="1">
      <alignment horizontal="center" vertical="center"/>
    </xf>
    <xf numFmtId="0" fontId="43" fillId="0" borderId="2" xfId="7" applyFont="1" applyBorder="1" applyAlignment="1">
      <alignment horizontal="center" vertical="center"/>
    </xf>
    <xf numFmtId="0" fontId="43" fillId="0" borderId="3" xfId="7" applyFont="1" applyBorder="1" applyAlignment="1">
      <alignment horizontal="center" vertical="center"/>
    </xf>
    <xf numFmtId="0" fontId="43" fillId="0" borderId="6" xfId="7" applyFont="1" applyBorder="1" applyAlignment="1">
      <alignment horizontal="center" vertical="center"/>
    </xf>
    <xf numFmtId="0" fontId="43" fillId="0" borderId="8" xfId="7" applyFont="1" applyBorder="1" applyAlignment="1">
      <alignment horizontal="center" vertical="center"/>
    </xf>
    <xf numFmtId="167" fontId="43" fillId="0" borderId="52" xfId="7" applyNumberFormat="1" applyFont="1" applyBorder="1" applyAlignment="1">
      <alignment horizontal="center" vertical="center" wrapText="1"/>
    </xf>
    <xf numFmtId="167" fontId="43" fillId="0" borderId="53" xfId="7" applyNumberFormat="1" applyFont="1" applyBorder="1" applyAlignment="1">
      <alignment horizontal="center" vertical="center" wrapText="1"/>
    </xf>
    <xf numFmtId="167" fontId="43" fillId="0" borderId="2" xfId="7" applyNumberFormat="1" applyFont="1" applyBorder="1" applyAlignment="1">
      <alignment horizontal="center" vertical="center"/>
    </xf>
    <xf numFmtId="167" fontId="43" fillId="0" borderId="1" xfId="7" applyNumberFormat="1" applyFont="1" applyBorder="1" applyAlignment="1">
      <alignment horizontal="center" vertical="center"/>
    </xf>
    <xf numFmtId="167" fontId="43" fillId="0" borderId="3" xfId="7" applyNumberFormat="1" applyFont="1" applyBorder="1" applyAlignment="1">
      <alignment horizontal="center" vertical="center"/>
    </xf>
    <xf numFmtId="167" fontId="43" fillId="0" borderId="6" xfId="7" applyNumberFormat="1" applyFont="1" applyBorder="1" applyAlignment="1">
      <alignment horizontal="center" vertical="center"/>
    </xf>
    <xf numFmtId="167" fontId="43" fillId="0" borderId="7" xfId="7" applyNumberFormat="1" applyFont="1" applyBorder="1" applyAlignment="1">
      <alignment horizontal="center" vertical="center"/>
    </xf>
    <xf numFmtId="167" fontId="43" fillId="0" borderId="8" xfId="7" applyNumberFormat="1" applyFont="1" applyBorder="1" applyAlignment="1">
      <alignment horizontal="center" vertical="center"/>
    </xf>
    <xf numFmtId="167" fontId="27" fillId="0" borderId="2" xfId="7" applyNumberFormat="1" applyFont="1" applyBorder="1" applyAlignment="1">
      <alignment horizontal="center" vertical="center"/>
    </xf>
    <xf numFmtId="167" fontId="27" fillId="0" borderId="1" xfId="7" applyNumberFormat="1" applyFont="1" applyBorder="1" applyAlignment="1">
      <alignment horizontal="center" vertical="center"/>
    </xf>
    <xf numFmtId="167" fontId="27" fillId="0" borderId="3" xfId="7" applyNumberFormat="1" applyFont="1" applyBorder="1" applyAlignment="1">
      <alignment horizontal="center" vertical="center"/>
    </xf>
    <xf numFmtId="4" fontId="27" fillId="0" borderId="2" xfId="7" applyNumberFormat="1" applyFont="1" applyBorder="1" applyAlignment="1">
      <alignment horizontal="center" vertical="center"/>
    </xf>
    <xf numFmtId="4" fontId="27" fillId="0" borderId="1" xfId="7" applyNumberFormat="1" applyFont="1" applyBorder="1" applyAlignment="1">
      <alignment horizontal="center" vertical="center"/>
    </xf>
    <xf numFmtId="4" fontId="27" fillId="0" borderId="3" xfId="7" applyNumberFormat="1" applyFont="1" applyBorder="1" applyAlignment="1">
      <alignment horizontal="center" vertical="center"/>
    </xf>
    <xf numFmtId="167" fontId="27" fillId="0" borderId="4" xfId="7" applyNumberFormat="1" applyFont="1" applyBorder="1" applyAlignment="1">
      <alignment horizontal="center" vertical="center"/>
    </xf>
    <xf numFmtId="167" fontId="27" fillId="0" borderId="0" xfId="7" applyNumberFormat="1" applyFont="1" applyAlignment="1">
      <alignment horizontal="center" vertical="center"/>
    </xf>
    <xf numFmtId="167" fontId="27" fillId="0" borderId="5" xfId="7" applyNumberFormat="1" applyFont="1" applyBorder="1" applyAlignment="1">
      <alignment horizontal="center" vertical="center"/>
    </xf>
    <xf numFmtId="4" fontId="27" fillId="0" borderId="4" xfId="7" applyNumberFormat="1" applyFont="1" applyBorder="1" applyAlignment="1">
      <alignment horizontal="center" vertical="center"/>
    </xf>
    <xf numFmtId="4" fontId="27" fillId="0" borderId="0" xfId="7" applyNumberFormat="1" applyFont="1" applyAlignment="1">
      <alignment horizontal="center" vertical="center"/>
    </xf>
    <xf numFmtId="4" fontId="27" fillId="0" borderId="5" xfId="7" applyNumberFormat="1" applyFont="1" applyBorder="1" applyAlignment="1">
      <alignment horizontal="center" vertical="center"/>
    </xf>
    <xf numFmtId="167" fontId="27" fillId="0" borderId="6" xfId="7" applyNumberFormat="1" applyFont="1" applyBorder="1" applyAlignment="1">
      <alignment horizontal="center" vertical="center"/>
    </xf>
    <xf numFmtId="167" fontId="27" fillId="0" borderId="7" xfId="7" applyNumberFormat="1" applyFont="1" applyBorder="1" applyAlignment="1">
      <alignment horizontal="center" vertical="center"/>
    </xf>
    <xf numFmtId="167" fontId="27" fillId="0" borderId="8" xfId="7" applyNumberFormat="1" applyFont="1" applyBorder="1" applyAlignment="1">
      <alignment horizontal="center" vertical="center"/>
    </xf>
    <xf numFmtId="4" fontId="27" fillId="0" borderId="6" xfId="7" applyNumberFormat="1" applyFont="1" applyBorder="1" applyAlignment="1">
      <alignment horizontal="center" vertical="center"/>
    </xf>
    <xf numFmtId="4" fontId="27" fillId="0" borderId="7" xfId="7" applyNumberFormat="1" applyFont="1" applyBorder="1" applyAlignment="1">
      <alignment horizontal="center" vertical="center"/>
    </xf>
    <xf numFmtId="4" fontId="27" fillId="0" borderId="8" xfId="7" applyNumberFormat="1" applyFont="1" applyBorder="1" applyAlignment="1">
      <alignment horizontal="center" vertical="center"/>
    </xf>
    <xf numFmtId="0" fontId="34" fillId="7" borderId="12" xfId="4" applyFont="1" applyFill="1" applyBorder="1" applyAlignment="1">
      <alignment horizontal="center" vertical="top"/>
    </xf>
    <xf numFmtId="0" fontId="29" fillId="8" borderId="13" xfId="4" applyFont="1" applyFill="1" applyBorder="1"/>
    <xf numFmtId="0" fontId="29" fillId="8" borderId="14" xfId="4" applyFont="1" applyFill="1" applyBorder="1"/>
    <xf numFmtId="0" fontId="33" fillId="9" borderId="15" xfId="4" applyFont="1" applyFill="1" applyBorder="1" applyAlignment="1">
      <alignment horizontal="center" vertical="center"/>
    </xf>
    <xf numFmtId="0" fontId="29" fillId="10" borderId="0" xfId="4" applyFont="1" applyFill="1"/>
    <xf numFmtId="0" fontId="33" fillId="9" borderId="15" xfId="4" applyFont="1" applyFill="1" applyBorder="1" applyAlignment="1">
      <alignment horizontal="center" vertical="center" wrapText="1"/>
    </xf>
    <xf numFmtId="0" fontId="29" fillId="10" borderId="15" xfId="4" applyFont="1" applyFill="1" applyBorder="1"/>
    <xf numFmtId="166" fontId="33" fillId="9" borderId="15" xfId="4" applyNumberFormat="1" applyFont="1" applyFill="1" applyBorder="1" applyAlignment="1">
      <alignment horizontal="center" vertical="center" wrapText="1"/>
    </xf>
    <xf numFmtId="0" fontId="34" fillId="7" borderId="20" xfId="4" applyFont="1" applyFill="1" applyBorder="1" applyAlignment="1">
      <alignment horizontal="center" vertical="top"/>
    </xf>
    <xf numFmtId="0" fontId="34" fillId="7" borderId="19" xfId="4" applyFont="1" applyFill="1" applyBorder="1" applyAlignment="1">
      <alignment horizontal="center" vertical="top"/>
    </xf>
    <xf numFmtId="0" fontId="34" fillId="7" borderId="13" xfId="4" applyFont="1" applyFill="1" applyBorder="1" applyAlignment="1">
      <alignment horizontal="center" vertical="top"/>
    </xf>
    <xf numFmtId="0" fontId="36" fillId="0" borderId="17" xfId="4" applyFont="1" applyBorder="1" applyAlignment="1">
      <alignment horizontal="left" vertical="center" wrapText="1"/>
    </xf>
    <xf numFmtId="0" fontId="29" fillId="0" borderId="17" xfId="4" applyFont="1" applyBorder="1"/>
    <xf numFmtId="0" fontId="36" fillId="0" borderId="16" xfId="4" applyFont="1" applyBorder="1" applyAlignment="1">
      <alignment horizontal="center" vertical="center" wrapText="1"/>
    </xf>
    <xf numFmtId="0" fontId="29" fillId="0" borderId="16" xfId="4" applyFont="1" applyBorder="1"/>
    <xf numFmtId="0" fontId="37" fillId="11" borderId="18" xfId="4" applyFont="1" applyFill="1" applyBorder="1" applyAlignment="1">
      <alignment horizontal="center"/>
    </xf>
    <xf numFmtId="0" fontId="29" fillId="10" borderId="18" xfId="4" applyFont="1" applyFill="1" applyBorder="1"/>
    <xf numFmtId="2" fontId="33" fillId="9" borderId="15" xfId="4" applyNumberFormat="1" applyFont="1" applyFill="1" applyBorder="1" applyAlignment="1">
      <alignment horizontal="center" vertical="center" wrapText="1"/>
    </xf>
    <xf numFmtId="0" fontId="36" fillId="0" borderId="16" xfId="4" applyFont="1" applyBorder="1" applyAlignment="1">
      <alignment horizontal="left" vertical="center" wrapText="1"/>
    </xf>
    <xf numFmtId="175" fontId="27" fillId="6" borderId="21" xfId="7" applyNumberFormat="1" applyFont="1" applyFill="1" applyBorder="1" applyAlignment="1">
      <alignment horizontal="center" vertical="center"/>
    </xf>
    <xf numFmtId="175" fontId="27" fillId="6" borderId="31" xfId="7" applyNumberFormat="1" applyFont="1" applyFill="1" applyBorder="1" applyAlignment="1">
      <alignment horizontal="center" vertical="center"/>
    </xf>
    <xf numFmtId="175" fontId="27" fillId="6" borderId="22" xfId="7" applyNumberFormat="1" applyFont="1" applyFill="1" applyBorder="1" applyAlignment="1">
      <alignment horizontal="center" vertical="center"/>
    </xf>
    <xf numFmtId="4" fontId="27" fillId="0" borderId="9" xfId="7" applyNumberFormat="1" applyFont="1" applyBorder="1" applyAlignment="1">
      <alignment horizontal="center" vertical="center"/>
    </xf>
    <xf numFmtId="0" fontId="38" fillId="5" borderId="23" xfId="5" applyFont="1" applyFill="1" applyBorder="1" applyAlignment="1">
      <alignment horizontal="center" vertical="center"/>
    </xf>
    <xf numFmtId="0" fontId="38" fillId="5" borderId="24" xfId="5" applyFont="1" applyFill="1" applyBorder="1" applyAlignment="1">
      <alignment horizontal="center" vertical="center"/>
    </xf>
    <xf numFmtId="0" fontId="38" fillId="5" borderId="25" xfId="5" applyFont="1" applyFill="1" applyBorder="1" applyAlignment="1">
      <alignment horizontal="center" vertical="center"/>
    </xf>
    <xf numFmtId="0" fontId="39" fillId="5" borderId="26" xfId="5" applyFont="1" applyFill="1" applyBorder="1" applyAlignment="1">
      <alignment horizontal="center" vertical="center"/>
    </xf>
    <xf numFmtId="0" fontId="39" fillId="5" borderId="27" xfId="5" applyFont="1" applyFill="1" applyBorder="1" applyAlignment="1">
      <alignment horizontal="center" vertical="center"/>
    </xf>
    <xf numFmtId="0" fontId="40" fillId="5" borderId="26" xfId="5" applyFont="1" applyFill="1" applyBorder="1" applyAlignment="1">
      <alignment horizontal="center" vertical="center"/>
    </xf>
    <xf numFmtId="0" fontId="40" fillId="5" borderId="27" xfId="5" applyFont="1" applyFill="1" applyBorder="1" applyAlignment="1">
      <alignment horizontal="center" vertical="center"/>
    </xf>
    <xf numFmtId="0" fontId="24" fillId="6" borderId="41" xfId="7" applyFill="1" applyBorder="1" applyAlignment="1">
      <alignment horizontal="center" vertical="center"/>
    </xf>
    <xf numFmtId="0" fontId="24" fillId="6" borderId="42" xfId="7" applyFill="1" applyBorder="1" applyAlignment="1">
      <alignment horizontal="center" vertical="center"/>
    </xf>
    <xf numFmtId="0" fontId="25" fillId="0" borderId="48" xfId="7" applyFont="1" applyBorder="1" applyAlignment="1">
      <alignment horizontal="left" vertical="top" wrapText="1"/>
    </xf>
    <xf numFmtId="0" fontId="25" fillId="0" borderId="49" xfId="7" applyFont="1" applyBorder="1" applyAlignment="1">
      <alignment horizontal="left" vertical="top" wrapText="1"/>
    </xf>
    <xf numFmtId="4" fontId="27" fillId="6" borderId="9" xfId="7" applyNumberFormat="1" applyFont="1" applyFill="1" applyBorder="1" applyAlignment="1">
      <alignment horizontal="center" vertical="center"/>
    </xf>
    <xf numFmtId="167" fontId="43" fillId="0" borderId="84" xfId="7" applyNumberFormat="1" applyFont="1" applyBorder="1" applyAlignment="1">
      <alignment horizontal="right" vertical="center"/>
    </xf>
    <xf numFmtId="167" fontId="43" fillId="0" borderId="85" xfId="7" applyNumberFormat="1" applyFont="1" applyBorder="1" applyAlignment="1">
      <alignment horizontal="right" vertical="center"/>
    </xf>
    <xf numFmtId="167" fontId="43" fillId="0" borderId="86" xfId="7" applyNumberFormat="1" applyFont="1" applyBorder="1" applyAlignment="1">
      <alignment horizontal="right" vertical="center"/>
    </xf>
    <xf numFmtId="0" fontId="44" fillId="0" borderId="24" xfId="7" applyFont="1" applyBorder="1" applyAlignment="1">
      <alignment horizontal="left" vertical="center"/>
    </xf>
    <xf numFmtId="0" fontId="44" fillId="0" borderId="0" xfId="7" applyFont="1" applyAlignment="1">
      <alignment horizontal="left" vertical="center"/>
    </xf>
    <xf numFmtId="166" fontId="27" fillId="6" borderId="21" xfId="7" applyNumberFormat="1" applyFont="1" applyFill="1" applyBorder="1" applyAlignment="1">
      <alignment horizontal="center" vertical="center"/>
    </xf>
    <xf numFmtId="166" fontId="27" fillId="6" borderId="31" xfId="7" applyNumberFormat="1" applyFont="1" applyFill="1" applyBorder="1" applyAlignment="1">
      <alignment horizontal="center" vertical="center"/>
    </xf>
    <xf numFmtId="166" fontId="27" fillId="6" borderId="22" xfId="7" applyNumberFormat="1" applyFont="1" applyFill="1" applyBorder="1" applyAlignment="1">
      <alignment horizontal="center" vertical="center"/>
    </xf>
    <xf numFmtId="0" fontId="25" fillId="0" borderId="34" xfId="7" applyFont="1" applyBorder="1" applyAlignment="1">
      <alignment horizontal="left" vertical="center" wrapText="1"/>
    </xf>
    <xf numFmtId="0" fontId="25" fillId="0" borderId="35" xfId="7" applyFont="1" applyBorder="1" applyAlignment="1">
      <alignment horizontal="left" vertical="center" wrapText="1"/>
    </xf>
    <xf numFmtId="0" fontId="25" fillId="0" borderId="36" xfId="7" applyFont="1" applyBorder="1" applyAlignment="1">
      <alignment horizontal="left" vertical="center" wrapText="1"/>
    </xf>
    <xf numFmtId="0" fontId="25" fillId="0" borderId="38" xfId="7" applyFont="1" applyBorder="1" applyAlignment="1">
      <alignment horizontal="left" vertical="center" wrapText="1"/>
    </xf>
    <xf numFmtId="0" fontId="25" fillId="0" borderId="39" xfId="7" applyFont="1" applyBorder="1" applyAlignment="1">
      <alignment horizontal="left" vertical="center" wrapText="1"/>
    </xf>
    <xf numFmtId="0" fontId="25" fillId="0" borderId="40" xfId="7" applyFont="1" applyBorder="1" applyAlignment="1">
      <alignment horizontal="left" vertical="center" wrapText="1"/>
    </xf>
    <xf numFmtId="4" fontId="27" fillId="0" borderId="21" xfId="7" applyNumberFormat="1" applyFont="1" applyBorder="1" applyAlignment="1">
      <alignment horizontal="center" vertical="center"/>
    </xf>
    <xf numFmtId="4" fontId="27" fillId="0" borderId="31" xfId="7" applyNumberFormat="1" applyFont="1" applyBorder="1" applyAlignment="1">
      <alignment horizontal="center" vertical="center"/>
    </xf>
    <xf numFmtId="4" fontId="27" fillId="0" borderId="22" xfId="7" applyNumberFormat="1" applyFont="1" applyBorder="1" applyAlignment="1">
      <alignment horizontal="center" vertical="center"/>
    </xf>
    <xf numFmtId="4" fontId="27" fillId="6" borderId="21" xfId="7" applyNumberFormat="1" applyFont="1" applyFill="1" applyBorder="1" applyAlignment="1">
      <alignment horizontal="center" vertical="center"/>
    </xf>
    <xf numFmtId="4" fontId="27" fillId="6" borderId="31" xfId="7" applyNumberFormat="1" applyFont="1" applyFill="1" applyBorder="1" applyAlignment="1">
      <alignment horizontal="center" vertical="center"/>
    </xf>
    <xf numFmtId="4" fontId="27" fillId="6" borderId="22" xfId="7" applyNumberFormat="1" applyFont="1" applyFill="1" applyBorder="1" applyAlignment="1">
      <alignment horizontal="center" vertical="center"/>
    </xf>
    <xf numFmtId="0" fontId="23" fillId="0" borderId="0" xfId="21" applyFont="1"/>
    <xf numFmtId="0" fontId="53" fillId="0" borderId="0" xfId="21" applyFont="1"/>
    <xf numFmtId="4" fontId="26" fillId="12" borderId="31" xfId="1" applyNumberFormat="1" applyFont="1" applyFill="1" applyBorder="1" applyAlignment="1">
      <alignment horizontal="center" vertical="center"/>
    </xf>
    <xf numFmtId="0" fontId="57" fillId="0" borderId="0" xfId="21" applyFont="1"/>
    <xf numFmtId="0" fontId="1" fillId="0" borderId="0" xfId="21"/>
    <xf numFmtId="0" fontId="1" fillId="0" borderId="0" xfId="21" applyAlignment="1">
      <alignment horizontal="right"/>
    </xf>
    <xf numFmtId="170" fontId="52" fillId="0" borderId="54" xfId="5" applyNumberFormat="1" applyFont="1" applyBorder="1" applyAlignment="1">
      <alignment horizontal="center" vertical="center" wrapText="1"/>
    </xf>
    <xf numFmtId="170" fontId="52" fillId="12" borderId="9" xfId="5" applyNumberFormat="1" applyFont="1" applyFill="1" applyBorder="1" applyAlignment="1">
      <alignment horizontal="center" vertical="center" wrapText="1"/>
    </xf>
    <xf numFmtId="170" fontId="52" fillId="12" borderId="53" xfId="5" applyNumberFormat="1" applyFont="1" applyFill="1" applyBorder="1" applyAlignment="1">
      <alignment horizontal="center" vertical="center" wrapText="1"/>
    </xf>
    <xf numFmtId="170" fontId="52" fillId="0" borderId="54" xfId="5" applyNumberFormat="1" applyFont="1" applyBorder="1" applyAlignment="1">
      <alignment horizontal="center" vertical="center"/>
    </xf>
    <xf numFmtId="172" fontId="56" fillId="0" borderId="2" xfId="1" applyNumberFormat="1" applyFont="1" applyBorder="1" applyAlignment="1">
      <alignment horizontal="center" vertical="center"/>
    </xf>
    <xf numFmtId="172" fontId="56" fillId="0" borderId="52" xfId="1" applyNumberFormat="1" applyFont="1" applyBorder="1" applyAlignment="1">
      <alignment horizontal="center" vertical="center"/>
    </xf>
    <xf numFmtId="2" fontId="56" fillId="0" borderId="54" xfId="1" applyNumberFormat="1" applyFont="1" applyBorder="1" applyAlignment="1">
      <alignment horizontal="center" vertical="center"/>
    </xf>
    <xf numFmtId="172" fontId="26" fillId="12" borderId="9" xfId="1" applyNumberFormat="1" applyFont="1" applyFill="1" applyBorder="1" applyAlignment="1">
      <alignment horizontal="center" vertical="center"/>
    </xf>
    <xf numFmtId="4" fontId="26" fillId="0" borderId="53" xfId="1" applyNumberFormat="1" applyFont="1" applyBorder="1" applyAlignment="1">
      <alignment horizontal="center" vertical="center"/>
    </xf>
    <xf numFmtId="172" fontId="26" fillId="0" borderId="0" xfId="1" applyNumberFormat="1" applyFont="1" applyAlignment="1">
      <alignment vertical="center"/>
    </xf>
    <xf numFmtId="4" fontId="1" fillId="0" borderId="0" xfId="21" applyNumberFormat="1"/>
    <xf numFmtId="0" fontId="38" fillId="5" borderId="0" xfId="5" applyFont="1" applyFill="1" applyBorder="1" applyAlignment="1">
      <alignment horizontal="center" vertical="center"/>
    </xf>
    <xf numFmtId="0" fontId="39" fillId="5" borderId="0" xfId="5" applyFont="1" applyFill="1" applyBorder="1" applyAlignment="1">
      <alignment horizontal="center" vertical="center"/>
    </xf>
    <xf numFmtId="0" fontId="40" fillId="5" borderId="0" xfId="5" applyFont="1" applyFill="1" applyBorder="1" applyAlignment="1">
      <alignment horizontal="center" vertical="center"/>
    </xf>
    <xf numFmtId="0" fontId="51" fillId="6" borderId="4" xfId="1" applyFont="1" applyFill="1" applyBorder="1" applyAlignment="1">
      <alignment horizontal="center" vertical="center"/>
    </xf>
    <xf numFmtId="0" fontId="51" fillId="6" borderId="0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 wrapText="1"/>
    </xf>
    <xf numFmtId="44" fontId="0" fillId="0" borderId="0" xfId="20" applyFont="1"/>
    <xf numFmtId="4" fontId="0" fillId="0" borderId="0" xfId="0" applyNumberFormat="1"/>
  </cellXfs>
  <cellStyles count="22">
    <cellStyle name="Moeda" xfId="20" builtinId="4"/>
    <cellStyle name="Moeda 2 2 10" xfId="15" xr:uid="{41F8449E-EA84-4BEB-841C-CDC14D3E3115}"/>
    <cellStyle name="Normal" xfId="0" builtinId="0"/>
    <cellStyle name="Normal 2" xfId="1" xr:uid="{00000000-0005-0000-0000-000003000000}"/>
    <cellStyle name="Normal 2 10" xfId="9" xr:uid="{00000000-0005-0000-0000-000004000000}"/>
    <cellStyle name="Normal 2 2 10" xfId="14" xr:uid="{B0D148EC-E127-4297-8BC2-28A94A4B8117}"/>
    <cellStyle name="Normal 2 2 2 2" xfId="6" xr:uid="{00000000-0005-0000-0000-000005000000}"/>
    <cellStyle name="Normal 2 2 4" xfId="3" xr:uid="{00000000-0005-0000-0000-000006000000}"/>
    <cellStyle name="Normal 2 3" xfId="5" xr:uid="{00000000-0005-0000-0000-000007000000}"/>
    <cellStyle name="Normal 282" xfId="7" xr:uid="{00000000-0005-0000-0000-000008000000}"/>
    <cellStyle name="Normal 3" xfId="2" xr:uid="{00000000-0005-0000-0000-000009000000}"/>
    <cellStyle name="Normal 3 2 3" xfId="17" xr:uid="{EE5163CD-EA71-492B-822F-A665E71EC198}"/>
    <cellStyle name="Normal 4" xfId="4" xr:uid="{00000000-0005-0000-0000-00000A000000}"/>
    <cellStyle name="Normal 5" xfId="10" xr:uid="{00000000-0005-0000-0000-00000B000000}"/>
    <cellStyle name="Normal 6" xfId="12" xr:uid="{4A99BA0E-0557-43F0-AEEC-561B26ED7123}"/>
    <cellStyle name="Normal 6 2" xfId="18" xr:uid="{1A79AFF3-F4F6-4332-AC10-9620AB050CD4}"/>
    <cellStyle name="Normal 7" xfId="21" xr:uid="{CD23D5D3-C45E-44DB-A4BC-7DD53F6AD9C2}"/>
    <cellStyle name="Porcentagem" xfId="11" builtinId="5"/>
    <cellStyle name="Porcentagem 2" xfId="8" xr:uid="{00000000-0005-0000-0000-00000D000000}"/>
    <cellStyle name="Porcentagem 2 10" xfId="16" xr:uid="{C2CFA77B-1F4E-4F49-9E0C-29DEDF8EF670}"/>
    <cellStyle name="Vírgula" xfId="19" builtinId="3"/>
    <cellStyle name="Vírgula 4" xfId="13" xr:uid="{82D2CD68-B64D-4D66-A820-4EB2E0A9EF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7" Type="http://schemas.openxmlformats.org/officeDocument/2006/relationships/image" Target="../media/image12.png"/><Relationship Id="rId2" Type="http://schemas.openxmlformats.org/officeDocument/2006/relationships/image" Target="../media/image14.pn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2" Type="http://schemas.openxmlformats.org/officeDocument/2006/relationships/image" Target="../media/image20.jpeg"/><Relationship Id="rId1" Type="http://schemas.openxmlformats.org/officeDocument/2006/relationships/image" Target="../media/image19.png"/><Relationship Id="rId5" Type="http://schemas.openxmlformats.org/officeDocument/2006/relationships/image" Target="../media/image12.png"/><Relationship Id="rId4" Type="http://schemas.openxmlformats.org/officeDocument/2006/relationships/image" Target="../media/image2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2</xdr:col>
      <xdr:colOff>723900</xdr:colOff>
      <xdr:row>4</xdr:row>
      <xdr:rowOff>75998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5725"/>
          <a:ext cx="1733550" cy="7903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1021252</xdr:colOff>
      <xdr:row>4</xdr:row>
      <xdr:rowOff>169818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7102" cy="9603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33615</xdr:rowOff>
    </xdr:from>
    <xdr:to>
      <xdr:col>2</xdr:col>
      <xdr:colOff>1020536</xdr:colOff>
      <xdr:row>4</xdr:row>
      <xdr:rowOff>103009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9A079A1-75ED-4AA3-BD6A-711D09E40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15"/>
          <a:ext cx="2095500" cy="7905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33616</xdr:rowOff>
    </xdr:from>
    <xdr:to>
      <xdr:col>1</xdr:col>
      <xdr:colOff>533400</xdr:colOff>
      <xdr:row>4</xdr:row>
      <xdr:rowOff>29696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93A52D8-AC76-4714-8E72-E40BE1F55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16"/>
          <a:ext cx="1790700" cy="81523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415637</xdr:colOff>
      <xdr:row>12</xdr:row>
      <xdr:rowOff>138546</xdr:rowOff>
    </xdr:from>
    <xdr:ext cx="3030682" cy="2599209"/>
    <xdr:pic>
      <xdr:nvPicPr>
        <xdr:cNvPr id="4" name="Imagem 11">
          <a:extLst>
            <a:ext uri="{FF2B5EF4-FFF2-40B4-BE49-F238E27FC236}">
              <a16:creationId xmlns:a16="http://schemas.microsoft.com/office/drawing/2014/main" id="{A2ABAAFA-D479-47BF-BA4A-2EBC38F6F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74487" y="2491221"/>
          <a:ext cx="3030682" cy="2599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403760</xdr:colOff>
      <xdr:row>32</xdr:row>
      <xdr:rowOff>25102</xdr:rowOff>
    </xdr:from>
    <xdr:to>
      <xdr:col>16</xdr:col>
      <xdr:colOff>766453</xdr:colOff>
      <xdr:row>37</xdr:row>
      <xdr:rowOff>133958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DAC7475-2354-45DD-BBCC-5FEB0D443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4484804" y="8108733"/>
          <a:ext cx="2013856" cy="2858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233043</xdr:colOff>
      <xdr:row>50</xdr:row>
      <xdr:rowOff>1</xdr:rowOff>
    </xdr:from>
    <xdr:to>
      <xdr:col>15</xdr:col>
      <xdr:colOff>1083625</xdr:colOff>
      <xdr:row>55</xdr:row>
      <xdr:rowOff>313043</xdr:rowOff>
    </xdr:to>
    <xdr:pic>
      <xdr:nvPicPr>
        <xdr:cNvPr id="6" name="Imagem 6" descr="linha de bordo.JPG">
          <a:extLst>
            <a:ext uri="{FF2B5EF4-FFF2-40B4-BE49-F238E27FC236}">
              <a16:creationId xmlns:a16="http://schemas.microsoft.com/office/drawing/2014/main" id="{ECA7EB0A-DA94-46D8-B3BA-BEAB88609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4118" y="14249401"/>
          <a:ext cx="3346132" cy="1998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692728</xdr:colOff>
      <xdr:row>88</xdr:row>
      <xdr:rowOff>0</xdr:rowOff>
    </xdr:from>
    <xdr:to>
      <xdr:col>16</xdr:col>
      <xdr:colOff>34638</xdr:colOff>
      <xdr:row>95</xdr:row>
      <xdr:rowOff>351994</xdr:rowOff>
    </xdr:to>
    <xdr:pic>
      <xdr:nvPicPr>
        <xdr:cNvPr id="7" name="Imagem 3">
          <a:extLst>
            <a:ext uri="{FF2B5EF4-FFF2-40B4-BE49-F238E27FC236}">
              <a16:creationId xmlns:a16="http://schemas.microsoft.com/office/drawing/2014/main" id="{88C4E2BE-EBBD-4D49-8F4A-A91EDDF8C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3803" y="22707600"/>
          <a:ext cx="3085235" cy="2799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311728</xdr:colOff>
      <xdr:row>107</xdr:row>
      <xdr:rowOff>138545</xdr:rowOff>
    </xdr:from>
    <xdr:to>
      <xdr:col>15</xdr:col>
      <xdr:colOff>1190123</xdr:colOff>
      <xdr:row>114</xdr:row>
      <xdr:rowOff>126176</xdr:rowOff>
    </xdr:to>
    <xdr:pic>
      <xdr:nvPicPr>
        <xdr:cNvPr id="8" name="Imagem 6" descr="C:\Documents and Settings\karolini\Configurações locais\Temporary Internet Files\Content.Word\PARE.JPG">
          <a:extLst>
            <a:ext uri="{FF2B5EF4-FFF2-40B4-BE49-F238E27FC236}">
              <a16:creationId xmlns:a16="http://schemas.microsoft.com/office/drawing/2014/main" id="{4E0A4719-009F-4060-921C-0C793823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2803" y="26856170"/>
          <a:ext cx="3373945" cy="2435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217714</xdr:colOff>
      <xdr:row>72</xdr:row>
      <xdr:rowOff>239514</xdr:rowOff>
    </xdr:from>
    <xdr:to>
      <xdr:col>15</xdr:col>
      <xdr:colOff>1177636</xdr:colOff>
      <xdr:row>77</xdr:row>
      <xdr:rowOff>152250</xdr:rowOff>
    </xdr:to>
    <xdr:pic>
      <xdr:nvPicPr>
        <xdr:cNvPr id="9" name="Imagem 8" descr="LRE.JPG">
          <a:extLst>
            <a:ext uri="{FF2B5EF4-FFF2-40B4-BE49-F238E27FC236}">
              <a16:creationId xmlns:a16="http://schemas.microsoft.com/office/drawing/2014/main" id="{A0CB5374-4385-4088-8AAD-232D1C411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8789" y="19803864"/>
          <a:ext cx="3455472" cy="181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1114276</xdr:colOff>
      <xdr:row>4</xdr:row>
      <xdr:rowOff>136071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DE4E021B-43C4-44C1-AA43-15B888D3E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0062" cy="8572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82203</xdr:colOff>
      <xdr:row>0</xdr:row>
      <xdr:rowOff>140714</xdr:rowOff>
    </xdr:from>
    <xdr:to>
      <xdr:col>2</xdr:col>
      <xdr:colOff>121169</xdr:colOff>
      <xdr:row>3</xdr:row>
      <xdr:rowOff>163084</xdr:rowOff>
    </xdr:to>
    <xdr:pic>
      <xdr:nvPicPr>
        <xdr:cNvPr id="2" name="Imagem 3" descr="LOGO NEURILAN 900 X 636.png">
          <a:extLst>
            <a:ext uri="{FF2B5EF4-FFF2-40B4-BE49-F238E27FC236}">
              <a16:creationId xmlns:a16="http://schemas.microsoft.com/office/drawing/2014/main" id="{DA16467F-33A0-47ED-A224-8738C3E97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3" y="140714"/>
          <a:ext cx="1153391" cy="648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922956</xdr:colOff>
      <xdr:row>11</xdr:row>
      <xdr:rowOff>93722</xdr:rowOff>
    </xdr:from>
    <xdr:to>
      <xdr:col>14</xdr:col>
      <xdr:colOff>403411</xdr:colOff>
      <xdr:row>19</xdr:row>
      <xdr:rowOff>199555</xdr:rowOff>
    </xdr:to>
    <xdr:pic>
      <xdr:nvPicPr>
        <xdr:cNvPr id="4" name="Imagem 6" descr="Resultado de imagem para placa pare">
          <a:extLst>
            <a:ext uri="{FF2B5EF4-FFF2-40B4-BE49-F238E27FC236}">
              <a16:creationId xmlns:a16="http://schemas.microsoft.com/office/drawing/2014/main" id="{9156468B-B2EC-4F3F-9AA4-C407FF1F5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3456" y="2446397"/>
          <a:ext cx="1976005" cy="2001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950463</xdr:colOff>
      <xdr:row>30</xdr:row>
      <xdr:rowOff>11206</xdr:rowOff>
    </xdr:from>
    <xdr:to>
      <xdr:col>14</xdr:col>
      <xdr:colOff>448235</xdr:colOff>
      <xdr:row>38</xdr:row>
      <xdr:rowOff>167280</xdr:rowOff>
    </xdr:to>
    <xdr:pic>
      <xdr:nvPicPr>
        <xdr:cNvPr id="5" name="Imagem 9" descr="40 km.jpg">
          <a:extLst>
            <a:ext uri="{FF2B5EF4-FFF2-40B4-BE49-F238E27FC236}">
              <a16:creationId xmlns:a16="http://schemas.microsoft.com/office/drawing/2014/main" id="{E784CD97-594E-4762-8A3A-872E6F267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0963" y="5307106"/>
          <a:ext cx="1993322" cy="2051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739588</xdr:colOff>
      <xdr:row>48</xdr:row>
      <xdr:rowOff>78441</xdr:rowOff>
    </xdr:from>
    <xdr:to>
      <xdr:col>14</xdr:col>
      <xdr:colOff>509622</xdr:colOff>
      <xdr:row>58</xdr:row>
      <xdr:rowOff>11525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D6BEA15C-7695-4390-8185-4B42C6153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50088" y="8155641"/>
          <a:ext cx="2265584" cy="2295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930088</xdr:colOff>
      <xdr:row>3</xdr:row>
      <xdr:rowOff>118716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239BC277-01D1-4467-B5CE-A4300A9C3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50676" cy="73504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860799</xdr:colOff>
      <xdr:row>3</xdr:row>
      <xdr:rowOff>165652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BCFD283-AD93-4B80-AF2D-8C6EFCE74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970668" cy="78684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26</xdr:row>
      <xdr:rowOff>0</xdr:rowOff>
    </xdr:from>
    <xdr:ext cx="6219825" cy="51244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5448300"/>
          <a:ext cx="6219825" cy="51244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4</xdr:row>
      <xdr:rowOff>125409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F56D606-E77E-4FC2-B77B-06E297139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2941" cy="842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860799</xdr:colOff>
      <xdr:row>4</xdr:row>
      <xdr:rowOff>22777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FB34F87-7501-4718-8FC2-4567A3EE8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965698" cy="78477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860799</xdr:colOff>
      <xdr:row>3</xdr:row>
      <xdr:rowOff>240171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F9B69C8-E04E-44A3-B1D4-31BFBED6E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965698" cy="822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125902</xdr:colOff>
      <xdr:row>4</xdr:row>
      <xdr:rowOff>160293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3728" cy="9637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116315</xdr:colOff>
      <xdr:row>33</xdr:row>
      <xdr:rowOff>118783</xdr:rowOff>
    </xdr:from>
    <xdr:to>
      <xdr:col>10</xdr:col>
      <xdr:colOff>786090</xdr:colOff>
      <xdr:row>36</xdr:row>
      <xdr:rowOff>52879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4D5D720-5F1E-44C5-90C6-FB5A14B82F2B}"/>
            </a:ext>
          </a:extLst>
        </xdr:cNvPr>
        <xdr:cNvSpPr/>
      </xdr:nvSpPr>
      <xdr:spPr>
        <a:xfrm>
          <a:off x="3164315" y="6405283"/>
          <a:ext cx="3536800" cy="50559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6</xdr:col>
      <xdr:colOff>309717</xdr:colOff>
      <xdr:row>4</xdr:row>
      <xdr:rowOff>156883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2CD0BA9-8E3A-497A-9A2F-0C70FDF16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035423" cy="9412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0</xdr:rowOff>
    </xdr:from>
    <xdr:to>
      <xdr:col>2</xdr:col>
      <xdr:colOff>1082786</xdr:colOff>
      <xdr:row>4</xdr:row>
      <xdr:rowOff>168088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2112607" cy="96818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85725</xdr:rowOff>
    </xdr:from>
    <xdr:to>
      <xdr:col>2</xdr:col>
      <xdr:colOff>723900</xdr:colOff>
      <xdr:row>4</xdr:row>
      <xdr:rowOff>85523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5725"/>
          <a:ext cx="1733550" cy="7998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1021252</xdr:colOff>
      <xdr:row>5</xdr:row>
      <xdr:rowOff>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7102" cy="9811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704850</xdr:colOff>
      <xdr:row>4</xdr:row>
      <xdr:rowOff>1584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4A34C4C-6811-4C90-8245-96710F90B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1821" cy="718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704850</xdr:colOff>
      <xdr:row>4</xdr:row>
      <xdr:rowOff>1584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28E2119-3B9B-48D7-9A4E-625059811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0700" cy="7921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704850</xdr:colOff>
      <xdr:row>4</xdr:row>
      <xdr:rowOff>77784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83909B7-DF9D-4829-A579-11DEB650C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0700" cy="8397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704850</xdr:colOff>
      <xdr:row>4</xdr:row>
      <xdr:rowOff>30159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8F5AB7C-81A3-41A0-8604-F82CD875C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0700" cy="7921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33616</xdr:rowOff>
    </xdr:from>
    <xdr:to>
      <xdr:col>2</xdr:col>
      <xdr:colOff>704850</xdr:colOff>
      <xdr:row>4</xdr:row>
      <xdr:rowOff>134471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68F9568-0E51-4B27-A757-40BAA7F5F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16"/>
          <a:ext cx="1791821" cy="8180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ta-03\Projetos\Marcelo\docs\PP003%20-%20Restauracao%20-%20PROMG%20-%20DERMG\Levantamentos%20de%20Campo\PRIORIDADES\20CRG\Resultados\CARACT%20PAV%20EXISTEN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01945\Configura&#231;&#245;es%20locais\Temporary%20Internet%20Files\Content.IE5\QXPOF0PY\OR&#199;AMENTO..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u%20Drive/01%20-%20ENGENHARIA/01%20-%20KV%20ENGENHARIA/04%20-%20COMERCIAL/03%20-%20PREFEITURA/03%20-%20PREFEITURA%202024/07%20-%20PAVIMENTA&#199;&#195;O%20ASFALTICA/LICITA&#199;&#195;O%20RECAPEAMENTO%20DE%20VIAS%20RE02/OR&#199;AMENTO/pavimenta&#231;&#227;o%20v-3.06/PM%203.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"/>
      <sheetName val="aux"/>
      <sheetName val="graficos"/>
      <sheetName val="graficos (2)"/>
    </sheetNames>
    <sheetDataSet>
      <sheetData sheetId="0" refreshError="1"/>
      <sheetData sheetId="1">
        <row r="6">
          <cell r="B6">
            <v>32.307692307692307</v>
          </cell>
          <cell r="C6">
            <v>28.846153846153843</v>
          </cell>
          <cell r="D6">
            <v>14.615384615384617</v>
          </cell>
          <cell r="E6">
            <v>6.9230769230769234</v>
          </cell>
          <cell r="F6">
            <v>17.307692307692307</v>
          </cell>
          <cell r="I6">
            <v>1.68</v>
          </cell>
          <cell r="J6">
            <v>1.5</v>
          </cell>
          <cell r="K6">
            <v>0.76</v>
          </cell>
          <cell r="L6">
            <v>0.36</v>
          </cell>
          <cell r="M6">
            <v>0.9</v>
          </cell>
        </row>
        <row r="7">
          <cell r="B7" t="str">
            <v>0 - 10</v>
          </cell>
          <cell r="C7" t="str">
            <v>10 - 20</v>
          </cell>
          <cell r="D7" t="str">
            <v>20 - 40</v>
          </cell>
          <cell r="E7" t="str">
            <v>40 - 60</v>
          </cell>
          <cell r="F7" t="str">
            <v>&gt; 60</v>
          </cell>
        </row>
        <row r="8">
          <cell r="B8">
            <v>97.307692307692307</v>
          </cell>
          <cell r="C8">
            <v>2.6923076923076925</v>
          </cell>
          <cell r="D8">
            <v>0</v>
          </cell>
          <cell r="E8">
            <v>0</v>
          </cell>
          <cell r="F8">
            <v>0</v>
          </cell>
          <cell r="I8">
            <v>5.0600000000000005</v>
          </cell>
          <cell r="J8">
            <v>0.14000000000000001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0 -  10</v>
          </cell>
          <cell r="C9" t="str">
            <v>10 - 20</v>
          </cell>
          <cell r="D9" t="str">
            <v>20 - 40</v>
          </cell>
          <cell r="E9" t="str">
            <v>40 - 60</v>
          </cell>
          <cell r="F9" t="str">
            <v>&gt; 60</v>
          </cell>
        </row>
        <row r="10">
          <cell r="B10">
            <v>29.615384615384617</v>
          </cell>
          <cell r="C10">
            <v>31.538461538461537</v>
          </cell>
          <cell r="D10">
            <v>14.615384615384617</v>
          </cell>
          <cell r="E10">
            <v>6.9230769230769234</v>
          </cell>
          <cell r="F10">
            <v>17.307692307692307</v>
          </cell>
          <cell r="I10">
            <v>1.54</v>
          </cell>
          <cell r="J10">
            <v>1.6400000000000001</v>
          </cell>
          <cell r="K10">
            <v>0.76</v>
          </cell>
          <cell r="L10">
            <v>0.36</v>
          </cell>
          <cell r="M10">
            <v>0.9</v>
          </cell>
        </row>
        <row r="11">
          <cell r="B11" t="str">
            <v>0 - 10</v>
          </cell>
          <cell r="C11" t="str">
            <v>10 - 20</v>
          </cell>
          <cell r="D11" t="str">
            <v>20 - 40</v>
          </cell>
          <cell r="E11" t="str">
            <v>40 - 60</v>
          </cell>
          <cell r="F11" t="str">
            <v>&gt; 60</v>
          </cell>
        </row>
        <row r="12">
          <cell r="B12">
            <v>9.2307692307692317</v>
          </cell>
          <cell r="C12">
            <v>61.53846153846154</v>
          </cell>
          <cell r="D12">
            <v>21.153846153846153</v>
          </cell>
          <cell r="E12">
            <v>8.0769230769230766</v>
          </cell>
          <cell r="F12">
            <v>0</v>
          </cell>
          <cell r="I12">
            <v>0.48</v>
          </cell>
          <cell r="J12">
            <v>3.2</v>
          </cell>
          <cell r="K12">
            <v>1.1000000000000001</v>
          </cell>
          <cell r="L12">
            <v>0.42</v>
          </cell>
          <cell r="M12">
            <v>0</v>
          </cell>
        </row>
        <row r="13">
          <cell r="B13" t="str">
            <v>0 - 20</v>
          </cell>
          <cell r="C13" t="str">
            <v>20 - 40</v>
          </cell>
          <cell r="D13" t="str">
            <v>40 -  80</v>
          </cell>
          <cell r="E13" t="str">
            <v xml:space="preserve"> 80 - 150</v>
          </cell>
          <cell r="F13" t="str">
            <v>&gt; 150</v>
          </cell>
        </row>
        <row r="14">
          <cell r="B14">
            <v>9.2307692307692317</v>
          </cell>
          <cell r="C14">
            <v>63.84615384615384</v>
          </cell>
          <cell r="D14">
            <v>18.846153846153847</v>
          </cell>
          <cell r="E14">
            <v>8.0769230769230766</v>
          </cell>
          <cell r="F14">
            <v>0</v>
          </cell>
          <cell r="I14">
            <v>0.48</v>
          </cell>
          <cell r="J14">
            <v>3.3200000000000003</v>
          </cell>
          <cell r="K14">
            <v>0.98</v>
          </cell>
          <cell r="L14">
            <v>0.42</v>
          </cell>
          <cell r="M14">
            <v>0</v>
          </cell>
        </row>
        <row r="15">
          <cell r="B15" t="str">
            <v xml:space="preserve">  4 - 5</v>
          </cell>
          <cell r="C15" t="str">
            <v xml:space="preserve">  3 -   4</v>
          </cell>
          <cell r="D15" t="str">
            <v xml:space="preserve">  2 -   3</v>
          </cell>
          <cell r="E15" t="str">
            <v xml:space="preserve">  1 -   2</v>
          </cell>
          <cell r="F15" t="str">
            <v>0 -  1</v>
          </cell>
        </row>
        <row r="16">
          <cell r="B16">
            <v>69.230769230769226</v>
          </cell>
          <cell r="C16">
            <v>16.923076923076923</v>
          </cell>
          <cell r="D16">
            <v>13.846153846153847</v>
          </cell>
          <cell r="E16">
            <v>0</v>
          </cell>
          <cell r="F16">
            <v>0</v>
          </cell>
          <cell r="I16">
            <v>3.6</v>
          </cell>
          <cell r="J16">
            <v>0.88</v>
          </cell>
          <cell r="K16">
            <v>0.72</v>
          </cell>
          <cell r="L16">
            <v>0</v>
          </cell>
          <cell r="M16">
            <v>0</v>
          </cell>
        </row>
        <row r="17">
          <cell r="B17" t="str">
            <v>0 -  5</v>
          </cell>
          <cell r="C17" t="str">
            <v xml:space="preserve"> 5 - 10</v>
          </cell>
          <cell r="D17" t="str">
            <v>10 - 15</v>
          </cell>
          <cell r="E17" t="str">
            <v>15 - 20</v>
          </cell>
          <cell r="F17" t="str">
            <v>&gt; 20</v>
          </cell>
        </row>
        <row r="18">
          <cell r="B18">
            <v>0.76923076923076927</v>
          </cell>
          <cell r="C18">
            <v>59.615384615384613</v>
          </cell>
          <cell r="D18">
            <v>26.923076923076923</v>
          </cell>
          <cell r="E18">
            <v>12.692307692307692</v>
          </cell>
          <cell r="F18">
            <v>0</v>
          </cell>
          <cell r="I18">
            <v>0.04</v>
          </cell>
          <cell r="J18">
            <v>3.1</v>
          </cell>
          <cell r="K18">
            <v>1.4000000000000001</v>
          </cell>
          <cell r="L18">
            <v>0.66</v>
          </cell>
          <cell r="M18">
            <v>0</v>
          </cell>
        </row>
        <row r="19">
          <cell r="B19" t="str">
            <v>0 - 20</v>
          </cell>
          <cell r="C19" t="str">
            <v>20 - 40</v>
          </cell>
          <cell r="D19" t="str">
            <v>40 - 60</v>
          </cell>
          <cell r="E19" t="str">
            <v>60 - 80</v>
          </cell>
          <cell r="F19" t="str">
            <v>&gt; 80</v>
          </cell>
        </row>
        <row r="20">
          <cell r="B20">
            <v>0</v>
          </cell>
          <cell r="C20">
            <v>7.6923076923076925</v>
          </cell>
          <cell r="D20">
            <v>92.307692307692307</v>
          </cell>
          <cell r="E20">
            <v>0</v>
          </cell>
          <cell r="F20">
            <v>0</v>
          </cell>
          <cell r="I20">
            <v>0</v>
          </cell>
          <cell r="J20">
            <v>0.4</v>
          </cell>
          <cell r="K20">
            <v>4.8</v>
          </cell>
          <cell r="L20">
            <v>0</v>
          </cell>
          <cell r="M20">
            <v>0</v>
          </cell>
        </row>
        <row r="21">
          <cell r="B21" t="str">
            <v>0 - 20</v>
          </cell>
          <cell r="C21" t="str">
            <v>20 - 40</v>
          </cell>
          <cell r="D21" t="str">
            <v>40 - 80</v>
          </cell>
          <cell r="E21" t="str">
            <v>80 - 120</v>
          </cell>
          <cell r="F21" t="str">
            <v>&gt; 120</v>
          </cell>
        </row>
        <row r="22">
          <cell r="B22">
            <v>0</v>
          </cell>
          <cell r="C22">
            <v>93.07692307692308</v>
          </cell>
          <cell r="D22">
            <v>6.9230769230769234</v>
          </cell>
          <cell r="E22">
            <v>0</v>
          </cell>
          <cell r="F22">
            <v>0</v>
          </cell>
          <cell r="I22">
            <v>0</v>
          </cell>
          <cell r="J22">
            <v>4.84</v>
          </cell>
          <cell r="K22">
            <v>0.36</v>
          </cell>
          <cell r="L22">
            <v>0</v>
          </cell>
          <cell r="M22">
            <v>0</v>
          </cell>
        </row>
        <row r="23">
          <cell r="B23" t="str">
            <v xml:space="preserve">  4 - 5</v>
          </cell>
          <cell r="C23" t="str">
            <v xml:space="preserve">  3 -   4</v>
          </cell>
          <cell r="D23" t="str">
            <v xml:space="preserve">  2 -   3</v>
          </cell>
          <cell r="E23" t="str">
            <v xml:space="preserve">  1 -   2</v>
          </cell>
          <cell r="F23" t="str">
            <v>0 -  1</v>
          </cell>
        </row>
        <row r="24">
          <cell r="B24">
            <v>81.92307692307692</v>
          </cell>
          <cell r="C24">
            <v>18.076923076923077</v>
          </cell>
          <cell r="D24">
            <v>0</v>
          </cell>
          <cell r="E24">
            <v>0</v>
          </cell>
          <cell r="F24">
            <v>0</v>
          </cell>
          <cell r="I24">
            <v>4.26</v>
          </cell>
          <cell r="J24">
            <v>0.94000000000000006</v>
          </cell>
          <cell r="K24">
            <v>0</v>
          </cell>
          <cell r="L24">
            <v>0</v>
          </cell>
          <cell r="M24">
            <v>0</v>
          </cell>
        </row>
        <row r="25">
          <cell r="B25" t="str">
            <v xml:space="preserve">  4 - 5</v>
          </cell>
          <cell r="C25" t="str">
            <v xml:space="preserve">  3 -   4</v>
          </cell>
          <cell r="D25" t="str">
            <v xml:space="preserve">  2 -   3</v>
          </cell>
          <cell r="E25" t="str">
            <v xml:space="preserve">  1 -   2</v>
          </cell>
          <cell r="F25" t="str">
            <v>0 -  1</v>
          </cell>
        </row>
        <row r="26">
          <cell r="B26">
            <v>36.538461538461533</v>
          </cell>
          <cell r="C26">
            <v>55.769230769230774</v>
          </cell>
          <cell r="D26">
            <v>7.6923076923076925</v>
          </cell>
          <cell r="E26">
            <v>0</v>
          </cell>
          <cell r="F26">
            <v>0</v>
          </cell>
          <cell r="I26">
            <v>1.9000000000000001</v>
          </cell>
          <cell r="J26">
            <v>2.9</v>
          </cell>
          <cell r="K26">
            <v>0.4</v>
          </cell>
          <cell r="L26">
            <v>0</v>
          </cell>
          <cell r="M26">
            <v>0</v>
          </cell>
        </row>
        <row r="27">
          <cell r="B27" t="str">
            <v xml:space="preserve">  4 - 5</v>
          </cell>
          <cell r="C27" t="str">
            <v xml:space="preserve">  3 -   4</v>
          </cell>
          <cell r="D27" t="str">
            <v xml:space="preserve">  2 -   3</v>
          </cell>
          <cell r="E27" t="str">
            <v xml:space="preserve">  1 -   2</v>
          </cell>
          <cell r="F27" t="str">
            <v>0 -  1</v>
          </cell>
        </row>
        <row r="28">
          <cell r="B28">
            <v>0</v>
          </cell>
          <cell r="C28">
            <v>45.384615384615387</v>
          </cell>
          <cell r="D28">
            <v>54.615384615384613</v>
          </cell>
          <cell r="E28">
            <v>0</v>
          </cell>
          <cell r="F28">
            <v>0</v>
          </cell>
          <cell r="I28">
            <v>0</v>
          </cell>
          <cell r="J28">
            <v>2.36</v>
          </cell>
          <cell r="K28">
            <v>2.84</v>
          </cell>
          <cell r="L28">
            <v>0</v>
          </cell>
          <cell r="M28">
            <v>0</v>
          </cell>
        </row>
        <row r="29">
          <cell r="B29" t="str">
            <v xml:space="preserve">  4 - 5</v>
          </cell>
          <cell r="C29" t="str">
            <v xml:space="preserve">  3 -   4</v>
          </cell>
          <cell r="D29" t="str">
            <v xml:space="preserve">  2 -   3</v>
          </cell>
          <cell r="E29" t="str">
            <v xml:space="preserve">  1 -   2</v>
          </cell>
          <cell r="F29" t="str">
            <v>0 -  1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  <sheetName val="Planilha1"/>
    </sheetNames>
    <sheetDataSet>
      <sheetData sheetId="0">
        <row r="1">
          <cell r="J1" t="str">
            <v>PM</v>
          </cell>
        </row>
        <row r="2">
          <cell r="J2" t="str">
            <v>v3.0.6</v>
          </cell>
        </row>
        <row r="3">
          <cell r="O3">
            <v>2</v>
          </cell>
        </row>
        <row r="4">
          <cell r="O4">
            <v>1</v>
          </cell>
        </row>
      </sheetData>
      <sheetData sheetId="1">
        <row r="2">
          <cell r="E2"/>
          <cell r="J2" t="str">
            <v>Itens de Investimento</v>
          </cell>
          <cell r="K2" t="str">
            <v>Unidades habitacionais</v>
          </cell>
          <cell r="L2">
            <v>3</v>
          </cell>
          <cell r="M2" t="str">
            <v>Equipamentos comunitários</v>
          </cell>
          <cell r="N2">
            <v>6</v>
          </cell>
          <cell r="O2" t="str">
            <v>Pavimentação</v>
          </cell>
          <cell r="P2">
            <v>6</v>
          </cell>
          <cell r="Q2" t="str">
            <v xml:space="preserve">Drenagem </v>
          </cell>
          <cell r="R2">
            <v>6</v>
          </cell>
          <cell r="S2" t="str">
            <v>Abastecimento de água</v>
          </cell>
          <cell r="T2">
            <v>11</v>
          </cell>
          <cell r="U2" t="str">
            <v>Esgotamento sanitário</v>
          </cell>
          <cell r="V2">
            <v>8</v>
          </cell>
          <cell r="W2" t="str">
            <v>Energia elétrica e iluminação pública</v>
          </cell>
          <cell r="X2">
            <v>4</v>
          </cell>
          <cell r="Y2" t="str">
            <v>Coleta e tratamento de resíduos sólidos</v>
          </cell>
          <cell r="Z2">
            <v>6</v>
          </cell>
          <cell r="AA2" t="str">
            <v xml:space="preserve">Contenção e estabilização de encostas </v>
          </cell>
          <cell r="AB2">
            <v>2</v>
          </cell>
          <cell r="AC2" t="str">
            <v>Regularização fundiária</v>
          </cell>
          <cell r="AD2">
            <v>2</v>
          </cell>
          <cell r="AE2" t="str">
            <v>Aquisição de terreno</v>
          </cell>
          <cell r="AF2">
            <v>2</v>
          </cell>
          <cell r="AG2" t="str">
            <v>Aquisição de equipamentos e insumos</v>
          </cell>
          <cell r="AH2">
            <v>1</v>
          </cell>
          <cell r="AI2" t="str">
            <v>Elaboração de estudos e projetos</v>
          </cell>
          <cell r="AJ2">
            <v>1</v>
          </cell>
          <cell r="AK2" t="str">
            <v>Instrumentos e ações em planejamento e gestão pública</v>
          </cell>
          <cell r="AL2">
            <v>1</v>
          </cell>
          <cell r="AM2" t="str">
            <v>Ações complementares às obras</v>
          </cell>
          <cell r="AN2">
            <v>3</v>
          </cell>
          <cell r="AO2" t="str">
            <v>Gerenciamento</v>
          </cell>
          <cell r="AP2">
            <v>1</v>
          </cell>
          <cell r="AQ2" t="str">
            <v>Trabalho social</v>
          </cell>
          <cell r="AR2">
            <v>4</v>
          </cell>
        </row>
        <row r="3">
          <cell r="J3" t="str">
            <v>Unidades habitacionais</v>
          </cell>
        </row>
        <row r="4">
          <cell r="F4" t="str">
            <v>OGU</v>
          </cell>
          <cell r="J4" t="str">
            <v>Equipamentos comunitários</v>
          </cell>
        </row>
        <row r="5">
          <cell r="F5" t="str">
            <v>MUNICIPIO DE ESTREITO</v>
          </cell>
          <cell r="J5" t="str">
            <v>Pavimentação</v>
          </cell>
        </row>
        <row r="6">
          <cell r="F6" t="str">
            <v>ESTREITO/MA</v>
          </cell>
          <cell r="J6" t="str">
            <v xml:space="preserve">Drenagem </v>
          </cell>
        </row>
        <row r="7">
          <cell r="F7" t="str">
            <v>953057/2023</v>
          </cell>
          <cell r="J7" t="str">
            <v>Abastecimento de água</v>
          </cell>
        </row>
        <row r="8">
          <cell r="F8" t="str">
            <v>69871/2023</v>
          </cell>
          <cell r="J8" t="str">
            <v>Esgotamento sanitário</v>
          </cell>
        </row>
        <row r="9">
          <cell r="F9">
            <v>4785919</v>
          </cell>
          <cell r="J9" t="str">
            <v>Energia elétrica e iluminação pública</v>
          </cell>
        </row>
        <row r="10">
          <cell r="F10">
            <v>14081</v>
          </cell>
          <cell r="J10" t="str">
            <v>Coleta e tratamento de resíduos sólidos</v>
          </cell>
        </row>
        <row r="11">
          <cell r="F11">
            <v>1E-3</v>
          </cell>
          <cell r="J11" t="str">
            <v xml:space="preserve">Contenção e estabilização de encostas </v>
          </cell>
        </row>
        <row r="12">
          <cell r="F12"/>
          <cell r="J12" t="str">
            <v>Regularização fundiária</v>
          </cell>
        </row>
        <row r="13">
          <cell r="F13"/>
          <cell r="J13" t="str">
            <v>Aquisição de terreno</v>
          </cell>
        </row>
        <row r="14">
          <cell r="J14" t="str">
            <v>Aquisição de equipamentos e insumos</v>
          </cell>
        </row>
        <row r="15">
          <cell r="J15" t="str">
            <v>Elaboração de estudos e projetos</v>
          </cell>
        </row>
        <row r="16">
          <cell r="F16" t="str">
            <v>PAVIMENTAÇÃO</v>
          </cell>
          <cell r="J16" t="str">
            <v>Instrumentos e ações em planejamento e gestão pública</v>
          </cell>
        </row>
        <row r="17">
          <cell r="F17" t="str">
            <v>CONSTRATAÇÃO DE EMPRESA PARA IMPLANTAÇÃO DE PAVIMENTAÇÃO ASFÁLTICA COM CBUQ, DRENAGEM SUPERFICIAL E SINALIZAÇÃO VIÁRIA EM VIAS URBANS NO MUNICIPIO DE ESTREITO/MA, CONFORME CONTRATO DE REPASSE Nº 953057/2023/MCIDADES/CAIXA</v>
          </cell>
          <cell r="J17" t="str">
            <v>Ações complementares às obras</v>
          </cell>
        </row>
        <row r="18">
          <cell r="F18" t="str">
            <v>NÃO DESONERADO</v>
          </cell>
          <cell r="J18" t="str">
            <v>Gerenciamento</v>
          </cell>
        </row>
        <row r="19">
          <cell r="J19" t="str">
            <v>Trabalho social</v>
          </cell>
        </row>
        <row r="20">
          <cell r="J20"/>
        </row>
        <row r="21">
          <cell r="J21"/>
        </row>
        <row r="22">
          <cell r="F22" t="str">
            <v>KAIK EDUARDO SILVA VILAR</v>
          </cell>
        </row>
        <row r="23">
          <cell r="F23" t="str">
            <v>241510947-9</v>
          </cell>
        </row>
        <row r="24">
          <cell r="F24" t="str">
            <v>MA20240746438</v>
          </cell>
        </row>
        <row r="31">
          <cell r="F31" t="str">
            <v>Tradicional</v>
          </cell>
        </row>
        <row r="37">
          <cell r="F37" t="str">
            <v>135/2024</v>
          </cell>
        </row>
        <row r="38">
          <cell r="F38" t="str">
            <v>ROTA CONSTRUÇÕES LTDA</v>
          </cell>
        </row>
        <row r="39">
          <cell r="F39" t="str">
            <v>13.041.586/0002-65</v>
          </cell>
        </row>
        <row r="47">
          <cell r="F47">
            <v>45490</v>
          </cell>
        </row>
        <row r="51">
          <cell r="F51" t="str">
            <v>KAIK EDUARDO SILVA VILAR</v>
          </cell>
        </row>
        <row r="52">
          <cell r="F52" t="str">
            <v>ENGENHEIRO CIVIL</v>
          </cell>
        </row>
        <row r="53">
          <cell r="F53" t="str">
            <v>2415109479</v>
          </cell>
        </row>
        <row r="54">
          <cell r="F54" t="str">
            <v>MA20240746438</v>
          </cell>
        </row>
      </sheetData>
      <sheetData sheetId="2"/>
      <sheetData sheetId="3"/>
      <sheetData sheetId="4">
        <row r="8">
          <cell r="F8" t="str">
            <v>'[Referência 12-2023.xlsm]Banco'!$a5:$a$65536</v>
          </cell>
          <cell r="AF8" t="b">
            <v>1</v>
          </cell>
        </row>
        <row r="10">
          <cell r="AF10" t="b">
            <v>1</v>
          </cell>
        </row>
        <row r="11">
          <cell r="AF11" t="b">
            <v>1</v>
          </cell>
        </row>
        <row r="15">
          <cell r="M15" t="str">
            <v>CTEF</v>
          </cell>
          <cell r="P15"/>
          <cell r="Q15"/>
          <cell r="R15"/>
          <cell r="S15"/>
          <cell r="T15"/>
          <cell r="U15"/>
          <cell r="V15"/>
          <cell r="X15">
            <v>4263956.38</v>
          </cell>
          <cell r="Y15"/>
          <cell r="Z15" t="str">
            <v/>
          </cell>
          <cell r="AA15">
            <v>4263.9563800000005</v>
          </cell>
          <cell r="AB15">
            <v>0</v>
          </cell>
          <cell r="AH15"/>
          <cell r="AJ15"/>
          <cell r="AL15"/>
        </row>
        <row r="16">
          <cell r="X16">
            <v>4263956.38</v>
          </cell>
          <cell r="Z16" t="str">
            <v/>
          </cell>
          <cell r="AA16">
            <v>4263.9563800000005</v>
          </cell>
          <cell r="AB16">
            <v>0</v>
          </cell>
        </row>
        <row r="17">
          <cell r="X17">
            <v>124503.61</v>
          </cell>
          <cell r="Z17" t="str">
            <v/>
          </cell>
          <cell r="AA17">
            <v>124.50361000000001</v>
          </cell>
          <cell r="AB17">
            <v>0</v>
          </cell>
        </row>
        <row r="18">
          <cell r="X18">
            <v>1705.55</v>
          </cell>
          <cell r="Z18" t="str">
            <v>RA</v>
          </cell>
          <cell r="AA18">
            <v>1.7055499999999999</v>
          </cell>
          <cell r="AB18">
            <v>0</v>
          </cell>
        </row>
        <row r="19">
          <cell r="X19">
            <v>122798.06</v>
          </cell>
          <cell r="Z19" t="str">
            <v>RA</v>
          </cell>
          <cell r="AA19">
            <v>122.79806000000001</v>
          </cell>
          <cell r="AB19">
            <v>0</v>
          </cell>
        </row>
        <row r="20">
          <cell r="X20">
            <v>3756615.18</v>
          </cell>
          <cell r="Z20" t="str">
            <v/>
          </cell>
          <cell r="AA20">
            <v>3756.6151800000002</v>
          </cell>
          <cell r="AB20">
            <v>0</v>
          </cell>
        </row>
        <row r="21">
          <cell r="X21">
            <v>98485.16</v>
          </cell>
          <cell r="Z21" t="str">
            <v>RA</v>
          </cell>
          <cell r="AA21">
            <v>98.485160000000008</v>
          </cell>
          <cell r="AB21">
            <v>0</v>
          </cell>
        </row>
        <row r="22">
          <cell r="X22">
            <v>391393.61</v>
          </cell>
          <cell r="Z22" t="str">
            <v>RA</v>
          </cell>
          <cell r="AA22">
            <v>391.39360999999997</v>
          </cell>
          <cell r="AB22">
            <v>0</v>
          </cell>
        </row>
        <row r="23">
          <cell r="X23">
            <v>217346.56</v>
          </cell>
          <cell r="Z23" t="str">
            <v>RA</v>
          </cell>
          <cell r="AA23">
            <v>217.34656000000001</v>
          </cell>
          <cell r="AB23">
            <v>0</v>
          </cell>
        </row>
        <row r="24">
          <cell r="X24">
            <v>2839717.45</v>
          </cell>
          <cell r="Z24" t="str">
            <v>RA</v>
          </cell>
          <cell r="AA24">
            <v>2839.7174500000001</v>
          </cell>
          <cell r="AB24">
            <v>0</v>
          </cell>
        </row>
        <row r="25">
          <cell r="X25">
            <v>0</v>
          </cell>
          <cell r="Z25" t="str">
            <v/>
          </cell>
          <cell r="AA25">
            <v>0</v>
          </cell>
          <cell r="AB25">
            <v>0</v>
          </cell>
        </row>
        <row r="26">
          <cell r="X26">
            <v>209672.4</v>
          </cell>
          <cell r="Z26" t="str">
            <v>RA</v>
          </cell>
          <cell r="AA26">
            <v>209.67240000000001</v>
          </cell>
          <cell r="AB26">
            <v>0</v>
          </cell>
        </row>
        <row r="27">
          <cell r="X27">
            <v>328424.84000000003</v>
          </cell>
          <cell r="Z27" t="str">
            <v/>
          </cell>
          <cell r="AA27">
            <v>328.42484000000002</v>
          </cell>
          <cell r="AB27">
            <v>0</v>
          </cell>
        </row>
        <row r="28">
          <cell r="X28">
            <v>328424.84000000003</v>
          </cell>
          <cell r="Z28" t="str">
            <v>RA</v>
          </cell>
          <cell r="AA28">
            <v>328.42484000000002</v>
          </cell>
          <cell r="AB28">
            <v>0</v>
          </cell>
        </row>
        <row r="29">
          <cell r="X29">
            <v>54412.75</v>
          </cell>
          <cell r="Z29" t="str">
            <v/>
          </cell>
          <cell r="AA29">
            <v>54.412750000000003</v>
          </cell>
          <cell r="AB29">
            <v>0</v>
          </cell>
        </row>
        <row r="30">
          <cell r="X30">
            <v>40249.660000000003</v>
          </cell>
          <cell r="Z30" t="str">
            <v/>
          </cell>
          <cell r="AA30">
            <v>40.249659999999999</v>
          </cell>
          <cell r="AB30">
            <v>0</v>
          </cell>
        </row>
        <row r="31">
          <cell r="X31">
            <v>2029.66</v>
          </cell>
          <cell r="Z31" t="str">
            <v>RA</v>
          </cell>
          <cell r="AA31">
            <v>2.0296600000000002</v>
          </cell>
          <cell r="AB31">
            <v>0</v>
          </cell>
        </row>
        <row r="32">
          <cell r="X32">
            <v>38220</v>
          </cell>
          <cell r="Z32" t="str">
            <v>RA</v>
          </cell>
          <cell r="AA32">
            <v>38.22</v>
          </cell>
          <cell r="AB32">
            <v>0</v>
          </cell>
        </row>
        <row r="33">
          <cell r="X33">
            <v>14163.09</v>
          </cell>
          <cell r="Z33" t="str">
            <v/>
          </cell>
          <cell r="AA33">
            <v>14.16309</v>
          </cell>
          <cell r="AB33">
            <v>0</v>
          </cell>
        </row>
        <row r="34">
          <cell r="X34">
            <v>10635.84</v>
          </cell>
          <cell r="Z34" t="str">
            <v>RA</v>
          </cell>
          <cell r="AA34">
            <v>10.63584</v>
          </cell>
          <cell r="AB34">
            <v>0</v>
          </cell>
        </row>
        <row r="35">
          <cell r="X35">
            <v>3527.25</v>
          </cell>
          <cell r="Z35" t="str">
            <v>RA</v>
          </cell>
          <cell r="AA35">
            <v>3.52725</v>
          </cell>
          <cell r="AB35">
            <v>0</v>
          </cell>
        </row>
        <row r="36">
          <cell r="X36">
            <v>0</v>
          </cell>
          <cell r="Z36" t="str">
            <v/>
          </cell>
          <cell r="AA36">
            <v>0</v>
          </cell>
          <cell r="AB36">
            <v>0</v>
          </cell>
        </row>
        <row r="37">
          <cell r="X37">
            <v>0</v>
          </cell>
          <cell r="Z37" t="str">
            <v/>
          </cell>
          <cell r="AA37">
            <v>0</v>
          </cell>
          <cell r="AB37">
            <v>0</v>
          </cell>
        </row>
        <row r="38">
          <cell r="X38">
            <v>0</v>
          </cell>
          <cell r="Z38" t="str">
            <v/>
          </cell>
          <cell r="AA38">
            <v>0</v>
          </cell>
          <cell r="AB38">
            <v>0</v>
          </cell>
        </row>
        <row r="39">
          <cell r="X39">
            <v>0</v>
          </cell>
          <cell r="Z39" t="str">
            <v/>
          </cell>
          <cell r="AA39">
            <v>0</v>
          </cell>
          <cell r="AB39">
            <v>0</v>
          </cell>
        </row>
        <row r="40">
          <cell r="X40">
            <v>0</v>
          </cell>
          <cell r="Z40" t="str">
            <v/>
          </cell>
          <cell r="AA40">
            <v>0</v>
          </cell>
          <cell r="AB40">
            <v>0</v>
          </cell>
        </row>
        <row r="41">
          <cell r="X41">
            <v>0</v>
          </cell>
          <cell r="Z41" t="str">
            <v/>
          </cell>
          <cell r="AA41">
            <v>0</v>
          </cell>
          <cell r="AB41">
            <v>0</v>
          </cell>
        </row>
        <row r="42">
          <cell r="X42">
            <v>0</v>
          </cell>
          <cell r="Z42" t="str">
            <v/>
          </cell>
          <cell r="AA42">
            <v>0</v>
          </cell>
          <cell r="AB42">
            <v>0</v>
          </cell>
        </row>
        <row r="43">
          <cell r="X43">
            <v>0</v>
          </cell>
          <cell r="Z43" t="str">
            <v/>
          </cell>
          <cell r="AA43">
            <v>0</v>
          </cell>
          <cell r="AB43">
            <v>0</v>
          </cell>
        </row>
        <row r="44">
          <cell r="X44">
            <v>0</v>
          </cell>
          <cell r="Z44" t="str">
            <v/>
          </cell>
          <cell r="AA44">
            <v>0</v>
          </cell>
          <cell r="AB44">
            <v>0</v>
          </cell>
        </row>
        <row r="45">
          <cell r="X45">
            <v>0</v>
          </cell>
          <cell r="Z45" t="str">
            <v/>
          </cell>
          <cell r="AA45">
            <v>0</v>
          </cell>
          <cell r="AB45">
            <v>0</v>
          </cell>
        </row>
        <row r="46">
          <cell r="X46">
            <v>0</v>
          </cell>
          <cell r="Z46" t="str">
            <v/>
          </cell>
          <cell r="AA46">
            <v>0</v>
          </cell>
          <cell r="AB46">
            <v>0</v>
          </cell>
        </row>
        <row r="47">
          <cell r="X47">
            <v>0</v>
          </cell>
          <cell r="Z47" t="str">
            <v/>
          </cell>
          <cell r="AA47">
            <v>0</v>
          </cell>
          <cell r="AB47">
            <v>0</v>
          </cell>
        </row>
        <row r="48">
          <cell r="X48">
            <v>0</v>
          </cell>
          <cell r="Z48" t="str">
            <v/>
          </cell>
          <cell r="AA48">
            <v>0</v>
          </cell>
          <cell r="AB48">
            <v>0</v>
          </cell>
        </row>
        <row r="49">
          <cell r="X49">
            <v>0</v>
          </cell>
          <cell r="Z49" t="str">
            <v/>
          </cell>
          <cell r="AA49">
            <v>0</v>
          </cell>
          <cell r="AB49">
            <v>0</v>
          </cell>
        </row>
        <row r="50">
          <cell r="X50">
            <v>0</v>
          </cell>
          <cell r="Z50" t="str">
            <v/>
          </cell>
          <cell r="AA50">
            <v>0</v>
          </cell>
          <cell r="AB50">
            <v>0</v>
          </cell>
        </row>
        <row r="51">
          <cell r="X51">
            <v>0</v>
          </cell>
          <cell r="Z51" t="str">
            <v/>
          </cell>
          <cell r="AA51">
            <v>0</v>
          </cell>
          <cell r="AB51">
            <v>0</v>
          </cell>
        </row>
        <row r="52">
          <cell r="X52">
            <v>0</v>
          </cell>
          <cell r="Z52" t="str">
            <v/>
          </cell>
          <cell r="AA52">
            <v>0</v>
          </cell>
          <cell r="AB52">
            <v>0</v>
          </cell>
        </row>
        <row r="53">
          <cell r="X53">
            <v>0</v>
          </cell>
          <cell r="Z53" t="str">
            <v/>
          </cell>
          <cell r="AA53">
            <v>0</v>
          </cell>
          <cell r="AB53">
            <v>0</v>
          </cell>
        </row>
        <row r="54">
          <cell r="X54">
            <v>0</v>
          </cell>
          <cell r="Z54" t="str">
            <v/>
          </cell>
          <cell r="AA54">
            <v>0</v>
          </cell>
          <cell r="AB54">
            <v>0</v>
          </cell>
        </row>
        <row r="55">
          <cell r="X55">
            <v>0</v>
          </cell>
          <cell r="Z55" t="str">
            <v/>
          </cell>
          <cell r="AA55">
            <v>0</v>
          </cell>
          <cell r="AB55">
            <v>0</v>
          </cell>
        </row>
        <row r="56">
          <cell r="X56">
            <v>0</v>
          </cell>
          <cell r="Z56" t="str">
            <v/>
          </cell>
          <cell r="AA56">
            <v>0</v>
          </cell>
          <cell r="AB56">
            <v>0</v>
          </cell>
        </row>
        <row r="57">
          <cell r="X57">
            <v>0</v>
          </cell>
          <cell r="Z57" t="str">
            <v/>
          </cell>
          <cell r="AA57">
            <v>0</v>
          </cell>
          <cell r="AB57">
            <v>0</v>
          </cell>
        </row>
        <row r="58">
          <cell r="X58">
            <v>0</v>
          </cell>
          <cell r="Z58" t="str">
            <v/>
          </cell>
          <cell r="AA58">
            <v>0</v>
          </cell>
          <cell r="AB58">
            <v>0</v>
          </cell>
        </row>
        <row r="59">
          <cell r="X59">
            <v>0</v>
          </cell>
          <cell r="Z59" t="str">
            <v/>
          </cell>
          <cell r="AA59">
            <v>0</v>
          </cell>
          <cell r="AB59">
            <v>0</v>
          </cell>
        </row>
        <row r="60">
          <cell r="X60">
            <v>0</v>
          </cell>
          <cell r="Z60" t="str">
            <v/>
          </cell>
          <cell r="AA60">
            <v>0</v>
          </cell>
          <cell r="AB60">
            <v>0</v>
          </cell>
        </row>
        <row r="61">
          <cell r="X61">
            <v>0</v>
          </cell>
          <cell r="Z61" t="str">
            <v/>
          </cell>
          <cell r="AA61">
            <v>0</v>
          </cell>
          <cell r="AB61">
            <v>0</v>
          </cell>
        </row>
        <row r="62">
          <cell r="X62">
            <v>0</v>
          </cell>
          <cell r="Z62" t="str">
            <v/>
          </cell>
          <cell r="AA62">
            <v>0</v>
          </cell>
          <cell r="AB62">
            <v>0</v>
          </cell>
        </row>
        <row r="63">
          <cell r="X63">
            <v>0</v>
          </cell>
          <cell r="Z63" t="str">
            <v/>
          </cell>
          <cell r="AA63">
            <v>0</v>
          </cell>
          <cell r="AB63">
            <v>0</v>
          </cell>
        </row>
        <row r="64">
          <cell r="X64">
            <v>0</v>
          </cell>
          <cell r="Z64" t="str">
            <v/>
          </cell>
          <cell r="AA64">
            <v>0</v>
          </cell>
          <cell r="AB64">
            <v>0</v>
          </cell>
        </row>
        <row r="65">
          <cell r="X65">
            <v>0</v>
          </cell>
          <cell r="Z65" t="str">
            <v/>
          </cell>
          <cell r="AA65">
            <v>0</v>
          </cell>
          <cell r="AB65">
            <v>0</v>
          </cell>
        </row>
        <row r="66">
          <cell r="X66">
            <v>0</v>
          </cell>
          <cell r="Z66" t="str">
            <v/>
          </cell>
          <cell r="AA66">
            <v>0</v>
          </cell>
          <cell r="AB66">
            <v>0</v>
          </cell>
        </row>
        <row r="67">
          <cell r="X67">
            <v>0</v>
          </cell>
          <cell r="Z67" t="str">
            <v/>
          </cell>
          <cell r="AA67">
            <v>0</v>
          </cell>
          <cell r="AB67">
            <v>0</v>
          </cell>
        </row>
        <row r="68">
          <cell r="X68">
            <v>0</v>
          </cell>
          <cell r="Z68" t="str">
            <v/>
          </cell>
          <cell r="AA68">
            <v>0</v>
          </cell>
          <cell r="AB68">
            <v>0</v>
          </cell>
        </row>
        <row r="69">
          <cell r="X69">
            <v>0</v>
          </cell>
          <cell r="Z69" t="str">
            <v/>
          </cell>
          <cell r="AA69">
            <v>0</v>
          </cell>
          <cell r="AB69">
            <v>0</v>
          </cell>
        </row>
        <row r="70">
          <cell r="X70">
            <v>0</v>
          </cell>
          <cell r="Z70" t="str">
            <v/>
          </cell>
          <cell r="AA70">
            <v>0</v>
          </cell>
          <cell r="AB70">
            <v>0</v>
          </cell>
        </row>
        <row r="71">
          <cell r="X71">
            <v>0</v>
          </cell>
          <cell r="Z71" t="str">
            <v/>
          </cell>
          <cell r="AA71">
            <v>0</v>
          </cell>
          <cell r="AB71">
            <v>0</v>
          </cell>
        </row>
        <row r="72">
          <cell r="X72">
            <v>0</v>
          </cell>
          <cell r="Z72" t="str">
            <v/>
          </cell>
          <cell r="AA72">
            <v>0</v>
          </cell>
          <cell r="AB72">
            <v>0</v>
          </cell>
        </row>
        <row r="73">
          <cell r="X73">
            <v>0</v>
          </cell>
          <cell r="Z73" t="str">
            <v/>
          </cell>
          <cell r="AA73">
            <v>0</v>
          </cell>
          <cell r="AB73">
            <v>0</v>
          </cell>
        </row>
        <row r="74">
          <cell r="X74">
            <v>0</v>
          </cell>
          <cell r="Z74" t="str">
            <v/>
          </cell>
          <cell r="AA74">
            <v>0</v>
          </cell>
          <cell r="AB74">
            <v>0</v>
          </cell>
        </row>
        <row r="75">
          <cell r="X75">
            <v>0</v>
          </cell>
          <cell r="Z75" t="str">
            <v/>
          </cell>
          <cell r="AA75">
            <v>0</v>
          </cell>
          <cell r="AB75">
            <v>0</v>
          </cell>
        </row>
        <row r="76">
          <cell r="X76">
            <v>0</v>
          </cell>
          <cell r="Z76" t="str">
            <v/>
          </cell>
          <cell r="AA76">
            <v>0</v>
          </cell>
          <cell r="AB76">
            <v>0</v>
          </cell>
        </row>
        <row r="77">
          <cell r="X77">
            <v>0</v>
          </cell>
          <cell r="Z77" t="str">
            <v/>
          </cell>
          <cell r="AA77">
            <v>0</v>
          </cell>
          <cell r="AB77">
            <v>0</v>
          </cell>
        </row>
        <row r="78">
          <cell r="X78">
            <v>0</v>
          </cell>
          <cell r="Z78" t="str">
            <v/>
          </cell>
          <cell r="AA78">
            <v>0</v>
          </cell>
          <cell r="AB78">
            <v>0</v>
          </cell>
        </row>
        <row r="79">
          <cell r="X79">
            <v>0</v>
          </cell>
          <cell r="Z79" t="str">
            <v/>
          </cell>
          <cell r="AA79">
            <v>0</v>
          </cell>
          <cell r="AB79">
            <v>0</v>
          </cell>
        </row>
        <row r="80">
          <cell r="X80">
            <v>0</v>
          </cell>
          <cell r="Z80" t="str">
            <v/>
          </cell>
          <cell r="AA80">
            <v>0</v>
          </cell>
          <cell r="AB80">
            <v>0</v>
          </cell>
        </row>
        <row r="81">
          <cell r="X81">
            <v>0</v>
          </cell>
          <cell r="Z81" t="str">
            <v/>
          </cell>
          <cell r="AA81">
            <v>0</v>
          </cell>
          <cell r="AB81">
            <v>0</v>
          </cell>
        </row>
        <row r="82">
          <cell r="X82">
            <v>0</v>
          </cell>
          <cell r="Z82" t="str">
            <v/>
          </cell>
          <cell r="AA82">
            <v>0</v>
          </cell>
          <cell r="AB82">
            <v>0</v>
          </cell>
        </row>
        <row r="83">
          <cell r="X83">
            <v>0</v>
          </cell>
          <cell r="Z83" t="str">
            <v/>
          </cell>
          <cell r="AA83">
            <v>0</v>
          </cell>
          <cell r="AB83">
            <v>0</v>
          </cell>
        </row>
        <row r="84">
          <cell r="X84">
            <v>0</v>
          </cell>
          <cell r="Z84" t="str">
            <v/>
          </cell>
          <cell r="AA84">
            <v>0</v>
          </cell>
          <cell r="AB84">
            <v>0</v>
          </cell>
        </row>
        <row r="85">
          <cell r="X85">
            <v>0</v>
          </cell>
          <cell r="Z85" t="str">
            <v/>
          </cell>
          <cell r="AA85">
            <v>0</v>
          </cell>
          <cell r="AB85">
            <v>0</v>
          </cell>
        </row>
        <row r="86">
          <cell r="X86">
            <v>0</v>
          </cell>
          <cell r="Z86" t="str">
            <v/>
          </cell>
          <cell r="AA86">
            <v>0</v>
          </cell>
          <cell r="AB86">
            <v>0</v>
          </cell>
        </row>
        <row r="87">
          <cell r="X87">
            <v>0</v>
          </cell>
          <cell r="Z87" t="str">
            <v/>
          </cell>
          <cell r="AA87">
            <v>0</v>
          </cell>
          <cell r="AB87">
            <v>0</v>
          </cell>
        </row>
        <row r="88">
          <cell r="X88">
            <v>0</v>
          </cell>
          <cell r="Z88" t="str">
            <v/>
          </cell>
          <cell r="AA88">
            <v>0</v>
          </cell>
          <cell r="AB88">
            <v>0</v>
          </cell>
        </row>
        <row r="89">
          <cell r="X89">
            <v>0</v>
          </cell>
          <cell r="Z89" t="str">
            <v/>
          </cell>
          <cell r="AA89">
            <v>0</v>
          </cell>
          <cell r="AB89">
            <v>0</v>
          </cell>
        </row>
        <row r="90">
          <cell r="X90">
            <v>0</v>
          </cell>
          <cell r="Z90" t="str">
            <v/>
          </cell>
          <cell r="AA90">
            <v>0</v>
          </cell>
          <cell r="AB90">
            <v>0</v>
          </cell>
        </row>
        <row r="91">
          <cell r="X91">
            <v>0</v>
          </cell>
          <cell r="Z91" t="str">
            <v/>
          </cell>
          <cell r="AA91">
            <v>0</v>
          </cell>
          <cell r="AB91">
            <v>0</v>
          </cell>
        </row>
        <row r="92">
          <cell r="X92">
            <v>0</v>
          </cell>
          <cell r="Z92" t="str">
            <v/>
          </cell>
          <cell r="AA92">
            <v>0</v>
          </cell>
          <cell r="AB92">
            <v>0</v>
          </cell>
        </row>
        <row r="93">
          <cell r="X93">
            <v>0</v>
          </cell>
          <cell r="Z93" t="str">
            <v/>
          </cell>
          <cell r="AA93">
            <v>0</v>
          </cell>
          <cell r="AB93">
            <v>0</v>
          </cell>
        </row>
        <row r="94">
          <cell r="X94">
            <v>0</v>
          </cell>
          <cell r="Z94" t="str">
            <v/>
          </cell>
          <cell r="AA94">
            <v>0</v>
          </cell>
          <cell r="AB94">
            <v>0</v>
          </cell>
        </row>
        <row r="95">
          <cell r="X95">
            <v>0</v>
          </cell>
          <cell r="Z95" t="str">
            <v/>
          </cell>
          <cell r="AA95">
            <v>0</v>
          </cell>
          <cell r="AB95">
            <v>0</v>
          </cell>
        </row>
        <row r="96">
          <cell r="X96">
            <v>0</v>
          </cell>
          <cell r="Z96" t="str">
            <v/>
          </cell>
          <cell r="AA96">
            <v>0</v>
          </cell>
          <cell r="AB96">
            <v>0</v>
          </cell>
        </row>
        <row r="97">
          <cell r="X97">
            <v>0</v>
          </cell>
          <cell r="Z97" t="str">
            <v/>
          </cell>
          <cell r="AA97">
            <v>0</v>
          </cell>
          <cell r="AB97">
            <v>0</v>
          </cell>
        </row>
        <row r="98">
          <cell r="X98">
            <v>0</v>
          </cell>
          <cell r="Z98" t="str">
            <v/>
          </cell>
          <cell r="AA98">
            <v>0</v>
          </cell>
          <cell r="AB98">
            <v>0</v>
          </cell>
        </row>
        <row r="99">
          <cell r="X99">
            <v>0</v>
          </cell>
          <cell r="Z99" t="str">
            <v/>
          </cell>
          <cell r="AA99">
            <v>0</v>
          </cell>
          <cell r="AB99">
            <v>0</v>
          </cell>
        </row>
        <row r="100">
          <cell r="X100">
            <v>0</v>
          </cell>
          <cell r="Z100" t="str">
            <v/>
          </cell>
          <cell r="AA100">
            <v>0</v>
          </cell>
          <cell r="AB100">
            <v>0</v>
          </cell>
        </row>
        <row r="101">
          <cell r="X101">
            <v>0</v>
          </cell>
          <cell r="Z101" t="str">
            <v/>
          </cell>
          <cell r="AA101">
            <v>0</v>
          </cell>
          <cell r="AB101">
            <v>0</v>
          </cell>
        </row>
        <row r="102">
          <cell r="X102">
            <v>0</v>
          </cell>
          <cell r="Z102" t="str">
            <v/>
          </cell>
          <cell r="AA102">
            <v>0</v>
          </cell>
          <cell r="AB102">
            <v>0</v>
          </cell>
        </row>
        <row r="103">
          <cell r="X103">
            <v>0</v>
          </cell>
          <cell r="Z103" t="str">
            <v/>
          </cell>
          <cell r="AA103">
            <v>0</v>
          </cell>
          <cell r="AB103">
            <v>0</v>
          </cell>
        </row>
        <row r="104">
          <cell r="X104">
            <v>0</v>
          </cell>
          <cell r="Z104" t="str">
            <v/>
          </cell>
          <cell r="AA104">
            <v>0</v>
          </cell>
          <cell r="AB104">
            <v>0</v>
          </cell>
        </row>
        <row r="105">
          <cell r="X105">
            <v>0</v>
          </cell>
          <cell r="Z105" t="str">
            <v/>
          </cell>
          <cell r="AA105">
            <v>0</v>
          </cell>
          <cell r="AB105">
            <v>0</v>
          </cell>
        </row>
        <row r="106">
          <cell r="X106">
            <v>0</v>
          </cell>
          <cell r="Z106" t="str">
            <v/>
          </cell>
          <cell r="AA106">
            <v>0</v>
          </cell>
          <cell r="AB106">
            <v>0</v>
          </cell>
        </row>
        <row r="107">
          <cell r="X107">
            <v>0</v>
          </cell>
          <cell r="Z107" t="str">
            <v/>
          </cell>
          <cell r="AA107">
            <v>0</v>
          </cell>
          <cell r="AB107">
            <v>0</v>
          </cell>
        </row>
        <row r="108">
          <cell r="X108">
            <v>0</v>
          </cell>
          <cell r="Z108" t="str">
            <v/>
          </cell>
          <cell r="AA108">
            <v>0</v>
          </cell>
          <cell r="AB108">
            <v>0</v>
          </cell>
        </row>
        <row r="109">
          <cell r="X109">
            <v>0</v>
          </cell>
          <cell r="Z109" t="str">
            <v/>
          </cell>
          <cell r="AA109">
            <v>0</v>
          </cell>
          <cell r="AB109">
            <v>0</v>
          </cell>
        </row>
        <row r="110">
          <cell r="X110">
            <v>0</v>
          </cell>
          <cell r="Z110" t="str">
            <v/>
          </cell>
          <cell r="AA110">
            <v>0</v>
          </cell>
          <cell r="AB110">
            <v>0</v>
          </cell>
        </row>
        <row r="111">
          <cell r="X111">
            <v>0</v>
          </cell>
          <cell r="Z111" t="str">
            <v/>
          </cell>
          <cell r="AA111">
            <v>0</v>
          </cell>
          <cell r="AB111">
            <v>0</v>
          </cell>
        </row>
        <row r="112">
          <cell r="X112">
            <v>0</v>
          </cell>
          <cell r="Z112" t="str">
            <v/>
          </cell>
          <cell r="AA112">
            <v>0</v>
          </cell>
          <cell r="AB112">
            <v>0</v>
          </cell>
        </row>
        <row r="113">
          <cell r="X113">
            <v>0</v>
          </cell>
          <cell r="Z113" t="str">
            <v/>
          </cell>
          <cell r="AA113">
            <v>0</v>
          </cell>
          <cell r="AB113">
            <v>0</v>
          </cell>
        </row>
        <row r="114">
          <cell r="X114">
            <v>0</v>
          </cell>
          <cell r="Z114" t="str">
            <v/>
          </cell>
          <cell r="AA114">
            <v>0</v>
          </cell>
          <cell r="AB114">
            <v>0</v>
          </cell>
        </row>
        <row r="115">
          <cell r="X115">
            <v>0</v>
          </cell>
          <cell r="Z115" t="str">
            <v/>
          </cell>
          <cell r="AA115">
            <v>0</v>
          </cell>
          <cell r="AB115">
            <v>0</v>
          </cell>
        </row>
        <row r="116">
          <cell r="X116">
            <v>0</v>
          </cell>
          <cell r="Z116" t="str">
            <v/>
          </cell>
          <cell r="AA116">
            <v>0</v>
          </cell>
          <cell r="AB116">
            <v>0</v>
          </cell>
        </row>
        <row r="117">
          <cell r="X117">
            <v>0</v>
          </cell>
          <cell r="Z117" t="str">
            <v/>
          </cell>
          <cell r="AA117">
            <v>0</v>
          </cell>
          <cell r="AB117">
            <v>0</v>
          </cell>
        </row>
        <row r="118">
          <cell r="X118">
            <v>0</v>
          </cell>
          <cell r="Z118" t="str">
            <v/>
          </cell>
          <cell r="AA118">
            <v>0</v>
          </cell>
          <cell r="AB118">
            <v>0</v>
          </cell>
        </row>
        <row r="119">
          <cell r="X119">
            <v>0</v>
          </cell>
          <cell r="Z119" t="str">
            <v/>
          </cell>
          <cell r="AA119">
            <v>0</v>
          </cell>
          <cell r="AB119">
            <v>0</v>
          </cell>
        </row>
        <row r="120">
          <cell r="X120">
            <v>0</v>
          </cell>
          <cell r="Z120" t="str">
            <v/>
          </cell>
          <cell r="AA120">
            <v>0</v>
          </cell>
          <cell r="AB120">
            <v>0</v>
          </cell>
        </row>
        <row r="121">
          <cell r="X121">
            <v>0</v>
          </cell>
          <cell r="Z121" t="str">
            <v/>
          </cell>
          <cell r="AA121">
            <v>0</v>
          </cell>
          <cell r="AB121">
            <v>0</v>
          </cell>
        </row>
        <row r="122">
          <cell r="X122">
            <v>0</v>
          </cell>
          <cell r="Z122" t="str">
            <v/>
          </cell>
          <cell r="AA122">
            <v>0</v>
          </cell>
          <cell r="AB122">
            <v>0</v>
          </cell>
        </row>
        <row r="123">
          <cell r="X123">
            <v>0</v>
          </cell>
          <cell r="Z123" t="str">
            <v/>
          </cell>
          <cell r="AA123">
            <v>0</v>
          </cell>
          <cell r="AB123">
            <v>0</v>
          </cell>
        </row>
        <row r="124">
          <cell r="X124">
            <v>0</v>
          </cell>
          <cell r="Z124" t="str">
            <v/>
          </cell>
          <cell r="AA124">
            <v>0</v>
          </cell>
          <cell r="AB124">
            <v>0</v>
          </cell>
        </row>
        <row r="125">
          <cell r="X125">
            <v>0</v>
          </cell>
          <cell r="Z125" t="str">
            <v/>
          </cell>
          <cell r="AA125">
            <v>0</v>
          </cell>
          <cell r="AB125">
            <v>0</v>
          </cell>
        </row>
        <row r="126">
          <cell r="X126">
            <v>0</v>
          </cell>
          <cell r="Z126" t="str">
            <v/>
          </cell>
          <cell r="AA126">
            <v>0</v>
          </cell>
          <cell r="AB126">
            <v>0</v>
          </cell>
        </row>
        <row r="127">
          <cell r="X127">
            <v>0</v>
          </cell>
          <cell r="Z127" t="str">
            <v/>
          </cell>
          <cell r="AA127">
            <v>0</v>
          </cell>
          <cell r="AB127">
            <v>0</v>
          </cell>
        </row>
        <row r="128">
          <cell r="X128">
            <v>0</v>
          </cell>
          <cell r="Z128" t="str">
            <v/>
          </cell>
          <cell r="AA128">
            <v>0</v>
          </cell>
          <cell r="AB128">
            <v>0</v>
          </cell>
        </row>
        <row r="129">
          <cell r="X129">
            <v>0</v>
          </cell>
          <cell r="Z129" t="str">
            <v/>
          </cell>
          <cell r="AA129">
            <v>0</v>
          </cell>
          <cell r="AB129">
            <v>0</v>
          </cell>
        </row>
        <row r="130">
          <cell r="X130">
            <v>0</v>
          </cell>
          <cell r="Z130" t="str">
            <v/>
          </cell>
          <cell r="AA130">
            <v>0</v>
          </cell>
          <cell r="AB130">
            <v>0</v>
          </cell>
        </row>
        <row r="131">
          <cell r="X131">
            <v>0</v>
          </cell>
          <cell r="Z131" t="str">
            <v/>
          </cell>
          <cell r="AA131">
            <v>0</v>
          </cell>
          <cell r="AB131">
            <v>0</v>
          </cell>
        </row>
        <row r="132">
          <cell r="X132">
            <v>0</v>
          </cell>
          <cell r="Z132" t="str">
            <v/>
          </cell>
          <cell r="AA132">
            <v>0</v>
          </cell>
          <cell r="AB132">
            <v>0</v>
          </cell>
        </row>
        <row r="133">
          <cell r="X133">
            <v>0</v>
          </cell>
          <cell r="Z133" t="str">
            <v/>
          </cell>
          <cell r="AA133">
            <v>0</v>
          </cell>
          <cell r="AB133">
            <v>0</v>
          </cell>
        </row>
        <row r="134">
          <cell r="X134">
            <v>0</v>
          </cell>
          <cell r="Z134" t="str">
            <v/>
          </cell>
          <cell r="AA134">
            <v>0</v>
          </cell>
          <cell r="AB134">
            <v>0</v>
          </cell>
        </row>
        <row r="135">
          <cell r="X135">
            <v>0</v>
          </cell>
          <cell r="Z135" t="str">
            <v/>
          </cell>
          <cell r="AA135">
            <v>0</v>
          </cell>
          <cell r="AB135">
            <v>0</v>
          </cell>
        </row>
        <row r="136">
          <cell r="X136">
            <v>0</v>
          </cell>
          <cell r="Z136" t="str">
            <v/>
          </cell>
          <cell r="AA136">
            <v>0</v>
          </cell>
          <cell r="AB136">
            <v>0</v>
          </cell>
        </row>
        <row r="137">
          <cell r="X137">
            <v>0</v>
          </cell>
          <cell r="Z137" t="str">
            <v/>
          </cell>
          <cell r="AA137">
            <v>0</v>
          </cell>
          <cell r="AB137">
            <v>0</v>
          </cell>
        </row>
        <row r="138">
          <cell r="X138">
            <v>0</v>
          </cell>
          <cell r="Z138" t="str">
            <v/>
          </cell>
          <cell r="AA138">
            <v>0</v>
          </cell>
          <cell r="AB138">
            <v>0</v>
          </cell>
        </row>
        <row r="139">
          <cell r="X139">
            <v>0</v>
          </cell>
          <cell r="Z139" t="str">
            <v/>
          </cell>
          <cell r="AA139">
            <v>0</v>
          </cell>
          <cell r="AB139">
            <v>0</v>
          </cell>
        </row>
        <row r="140">
          <cell r="X140">
            <v>0</v>
          </cell>
          <cell r="Z140" t="str">
            <v/>
          </cell>
          <cell r="AA140">
            <v>0</v>
          </cell>
          <cell r="AB140">
            <v>0</v>
          </cell>
        </row>
        <row r="141">
          <cell r="X141">
            <v>0</v>
          </cell>
          <cell r="Z141" t="str">
            <v/>
          </cell>
          <cell r="AA141">
            <v>0</v>
          </cell>
          <cell r="AB141">
            <v>0</v>
          </cell>
        </row>
        <row r="142">
          <cell r="X142">
            <v>0</v>
          </cell>
          <cell r="Z142" t="str">
            <v/>
          </cell>
          <cell r="AA142">
            <v>0</v>
          </cell>
          <cell r="AB142">
            <v>0</v>
          </cell>
        </row>
        <row r="143">
          <cell r="X143">
            <v>0</v>
          </cell>
          <cell r="Z143" t="str">
            <v/>
          </cell>
          <cell r="AA143">
            <v>0</v>
          </cell>
          <cell r="AB143">
            <v>0</v>
          </cell>
        </row>
        <row r="144">
          <cell r="X144">
            <v>0</v>
          </cell>
          <cell r="Z144" t="str">
            <v/>
          </cell>
          <cell r="AA144">
            <v>0</v>
          </cell>
          <cell r="AB144">
            <v>0</v>
          </cell>
        </row>
        <row r="145">
          <cell r="X145">
            <v>0</v>
          </cell>
          <cell r="Z145" t="str">
            <v/>
          </cell>
          <cell r="AA145">
            <v>0</v>
          </cell>
          <cell r="AB145">
            <v>0</v>
          </cell>
        </row>
        <row r="146">
          <cell r="X146">
            <v>0</v>
          </cell>
          <cell r="Z146" t="str">
            <v/>
          </cell>
          <cell r="AA146">
            <v>0</v>
          </cell>
          <cell r="AB146">
            <v>0</v>
          </cell>
        </row>
        <row r="147">
          <cell r="X147">
            <v>0</v>
          </cell>
          <cell r="Z147" t="str">
            <v/>
          </cell>
          <cell r="AA147">
            <v>0</v>
          </cell>
          <cell r="AB147">
            <v>0</v>
          </cell>
        </row>
        <row r="148">
          <cell r="X148">
            <v>0</v>
          </cell>
          <cell r="Z148" t="str">
            <v/>
          </cell>
          <cell r="AA148">
            <v>0</v>
          </cell>
          <cell r="AB148">
            <v>0</v>
          </cell>
        </row>
        <row r="149">
          <cell r="X149">
            <v>0</v>
          </cell>
          <cell r="Z149" t="str">
            <v/>
          </cell>
          <cell r="AA149">
            <v>0</v>
          </cell>
          <cell r="AB149">
            <v>0</v>
          </cell>
        </row>
        <row r="150">
          <cell r="X150">
            <v>0</v>
          </cell>
          <cell r="Z150" t="str">
            <v/>
          </cell>
          <cell r="AA150">
            <v>0</v>
          </cell>
          <cell r="AB150">
            <v>0</v>
          </cell>
        </row>
        <row r="151">
          <cell r="X151">
            <v>0</v>
          </cell>
          <cell r="Z151" t="str">
            <v/>
          </cell>
          <cell r="AA151">
            <v>0</v>
          </cell>
          <cell r="AB151">
            <v>0</v>
          </cell>
        </row>
        <row r="152">
          <cell r="X152">
            <v>0</v>
          </cell>
          <cell r="Z152" t="str">
            <v/>
          </cell>
          <cell r="AA152">
            <v>0</v>
          </cell>
          <cell r="AB152">
            <v>0</v>
          </cell>
        </row>
        <row r="153">
          <cell r="X153">
            <v>0</v>
          </cell>
          <cell r="Z153" t="str">
            <v/>
          </cell>
          <cell r="AA153">
            <v>0</v>
          </cell>
          <cell r="AB153">
            <v>0</v>
          </cell>
        </row>
        <row r="154">
          <cell r="X154">
            <v>0</v>
          </cell>
          <cell r="Z154" t="str">
            <v/>
          </cell>
          <cell r="AA154">
            <v>0</v>
          </cell>
          <cell r="AB154">
            <v>0</v>
          </cell>
        </row>
        <row r="155">
          <cell r="X155">
            <v>0</v>
          </cell>
          <cell r="Z155" t="str">
            <v/>
          </cell>
          <cell r="AA155">
            <v>0</v>
          </cell>
          <cell r="AB155">
            <v>0</v>
          </cell>
        </row>
        <row r="156">
          <cell r="X156">
            <v>0</v>
          </cell>
          <cell r="Z156" t="str">
            <v/>
          </cell>
          <cell r="AA156">
            <v>0</v>
          </cell>
          <cell r="AB156">
            <v>0</v>
          </cell>
        </row>
        <row r="157">
          <cell r="X157">
            <v>0</v>
          </cell>
          <cell r="Z157" t="str">
            <v/>
          </cell>
          <cell r="AA157">
            <v>0</v>
          </cell>
          <cell r="AB157">
            <v>0</v>
          </cell>
        </row>
        <row r="158">
          <cell r="X158">
            <v>0</v>
          </cell>
          <cell r="Z158" t="str">
            <v/>
          </cell>
          <cell r="AA158">
            <v>0</v>
          </cell>
          <cell r="AB158">
            <v>0</v>
          </cell>
        </row>
        <row r="159">
          <cell r="X159">
            <v>0</v>
          </cell>
          <cell r="Z159" t="str">
            <v/>
          </cell>
          <cell r="AA159">
            <v>0</v>
          </cell>
          <cell r="AB159">
            <v>0</v>
          </cell>
        </row>
        <row r="160">
          <cell r="X160">
            <v>0</v>
          </cell>
          <cell r="Z160" t="str">
            <v/>
          </cell>
          <cell r="AA160">
            <v>0</v>
          </cell>
          <cell r="AB160">
            <v>0</v>
          </cell>
        </row>
        <row r="161">
          <cell r="X161">
            <v>0</v>
          </cell>
          <cell r="Z161" t="str">
            <v/>
          </cell>
          <cell r="AA161">
            <v>0</v>
          </cell>
          <cell r="AB161">
            <v>0</v>
          </cell>
        </row>
        <row r="162">
          <cell r="X162">
            <v>0</v>
          </cell>
          <cell r="Z162" t="str">
            <v/>
          </cell>
          <cell r="AA162">
            <v>0</v>
          </cell>
          <cell r="AB162">
            <v>0</v>
          </cell>
        </row>
        <row r="163">
          <cell r="X163">
            <v>0</v>
          </cell>
          <cell r="Z163" t="str">
            <v/>
          </cell>
          <cell r="AA163">
            <v>0</v>
          </cell>
          <cell r="AB163">
            <v>0</v>
          </cell>
        </row>
        <row r="164">
          <cell r="X164">
            <v>0</v>
          </cell>
          <cell r="Z164" t="str">
            <v/>
          </cell>
          <cell r="AA164">
            <v>0</v>
          </cell>
          <cell r="AB164">
            <v>0</v>
          </cell>
        </row>
        <row r="165">
          <cell r="X165">
            <v>0</v>
          </cell>
          <cell r="Z165" t="str">
            <v/>
          </cell>
          <cell r="AA165">
            <v>0</v>
          </cell>
          <cell r="AB165">
            <v>0</v>
          </cell>
        </row>
        <row r="166">
          <cell r="X166">
            <v>0</v>
          </cell>
          <cell r="Z166" t="str">
            <v/>
          </cell>
          <cell r="AA166">
            <v>0</v>
          </cell>
          <cell r="AB166">
            <v>0</v>
          </cell>
        </row>
        <row r="167">
          <cell r="X167">
            <v>0</v>
          </cell>
          <cell r="Z167" t="str">
            <v/>
          </cell>
          <cell r="AA167">
            <v>0</v>
          </cell>
          <cell r="AB167">
            <v>0</v>
          </cell>
        </row>
        <row r="168">
          <cell r="X168">
            <v>0</v>
          </cell>
          <cell r="Z168" t="str">
            <v/>
          </cell>
          <cell r="AA168">
            <v>0</v>
          </cell>
          <cell r="AB168">
            <v>0</v>
          </cell>
        </row>
        <row r="169">
          <cell r="X169">
            <v>0</v>
          </cell>
          <cell r="Z169" t="str">
            <v/>
          </cell>
          <cell r="AA169">
            <v>0</v>
          </cell>
          <cell r="AB169">
            <v>0</v>
          </cell>
        </row>
        <row r="170">
          <cell r="X170">
            <v>0</v>
          </cell>
          <cell r="Z170" t="str">
            <v/>
          </cell>
          <cell r="AA170">
            <v>0</v>
          </cell>
          <cell r="AB170">
            <v>0</v>
          </cell>
        </row>
        <row r="171">
          <cell r="X171">
            <v>0</v>
          </cell>
          <cell r="Z171" t="str">
            <v/>
          </cell>
          <cell r="AA171">
            <v>0</v>
          </cell>
          <cell r="AB171">
            <v>0</v>
          </cell>
        </row>
        <row r="172">
          <cell r="X172">
            <v>0</v>
          </cell>
          <cell r="Z172" t="str">
            <v/>
          </cell>
          <cell r="AA172">
            <v>0</v>
          </cell>
          <cell r="AB172">
            <v>0</v>
          </cell>
        </row>
        <row r="173">
          <cell r="X173">
            <v>0</v>
          </cell>
          <cell r="Z173" t="str">
            <v/>
          </cell>
          <cell r="AA173">
            <v>0</v>
          </cell>
          <cell r="AB173">
            <v>0</v>
          </cell>
        </row>
        <row r="174">
          <cell r="X174">
            <v>0</v>
          </cell>
          <cell r="Z174" t="str">
            <v/>
          </cell>
          <cell r="AA174">
            <v>0</v>
          </cell>
          <cell r="AB174">
            <v>0</v>
          </cell>
        </row>
        <row r="175">
          <cell r="X175">
            <v>0</v>
          </cell>
          <cell r="Z175" t="str">
            <v/>
          </cell>
          <cell r="AA175">
            <v>0</v>
          </cell>
          <cell r="AB175">
            <v>0</v>
          </cell>
        </row>
        <row r="176">
          <cell r="X176">
            <v>0</v>
          </cell>
          <cell r="Z176" t="str">
            <v/>
          </cell>
          <cell r="AA176">
            <v>0</v>
          </cell>
          <cell r="AB176">
            <v>0</v>
          </cell>
        </row>
        <row r="177">
          <cell r="X177">
            <v>0</v>
          </cell>
          <cell r="Z177" t="str">
            <v/>
          </cell>
          <cell r="AA177">
            <v>0</v>
          </cell>
          <cell r="AB177">
            <v>0</v>
          </cell>
        </row>
        <row r="178">
          <cell r="X178">
            <v>0</v>
          </cell>
          <cell r="Z178" t="str">
            <v/>
          </cell>
          <cell r="AA178">
            <v>0</v>
          </cell>
          <cell r="AB178">
            <v>0</v>
          </cell>
        </row>
        <row r="179">
          <cell r="X179">
            <v>0</v>
          </cell>
          <cell r="Z179" t="str">
            <v/>
          </cell>
          <cell r="AA179">
            <v>0</v>
          </cell>
          <cell r="AB179">
            <v>0</v>
          </cell>
        </row>
        <row r="180">
          <cell r="X180">
            <v>0</v>
          </cell>
          <cell r="Z180" t="str">
            <v/>
          </cell>
          <cell r="AA180">
            <v>0</v>
          </cell>
          <cell r="AB180">
            <v>0</v>
          </cell>
        </row>
        <row r="181">
          <cell r="X181">
            <v>0</v>
          </cell>
          <cell r="Z181" t="str">
            <v/>
          </cell>
          <cell r="AA181">
            <v>0</v>
          </cell>
          <cell r="AB181">
            <v>0</v>
          </cell>
        </row>
        <row r="182">
          <cell r="X182">
            <v>0</v>
          </cell>
          <cell r="Z182" t="str">
            <v/>
          </cell>
          <cell r="AA182">
            <v>0</v>
          </cell>
          <cell r="AB182">
            <v>0</v>
          </cell>
        </row>
        <row r="183">
          <cell r="X183">
            <v>0</v>
          </cell>
          <cell r="Z183" t="str">
            <v/>
          </cell>
          <cell r="AA183">
            <v>0</v>
          </cell>
          <cell r="AB183">
            <v>0</v>
          </cell>
        </row>
        <row r="184">
          <cell r="X184">
            <v>0</v>
          </cell>
          <cell r="Z184" t="str">
            <v/>
          </cell>
          <cell r="AA184">
            <v>0</v>
          </cell>
          <cell r="AB184">
            <v>0</v>
          </cell>
        </row>
        <row r="185">
          <cell r="X185">
            <v>0</v>
          </cell>
          <cell r="Z185" t="str">
            <v/>
          </cell>
          <cell r="AA185">
            <v>0</v>
          </cell>
          <cell r="AB185">
            <v>0</v>
          </cell>
        </row>
        <row r="186">
          <cell r="X186">
            <v>0</v>
          </cell>
          <cell r="Z186" t="str">
            <v/>
          </cell>
          <cell r="AA186">
            <v>0</v>
          </cell>
          <cell r="AB186">
            <v>0</v>
          </cell>
        </row>
        <row r="187">
          <cell r="X187">
            <v>0</v>
          </cell>
          <cell r="Z187" t="str">
            <v/>
          </cell>
          <cell r="AA187">
            <v>0</v>
          </cell>
          <cell r="AB187">
            <v>0</v>
          </cell>
        </row>
        <row r="188">
          <cell r="X188">
            <v>0</v>
          </cell>
          <cell r="Z188" t="str">
            <v/>
          </cell>
          <cell r="AA188">
            <v>0</v>
          </cell>
          <cell r="AB188">
            <v>0</v>
          </cell>
        </row>
        <row r="189">
          <cell r="X189">
            <v>0</v>
          </cell>
          <cell r="Z189" t="str">
            <v/>
          </cell>
          <cell r="AA189">
            <v>0</v>
          </cell>
          <cell r="AB189">
            <v>0</v>
          </cell>
        </row>
        <row r="190">
          <cell r="X190">
            <v>0</v>
          </cell>
          <cell r="Z190" t="str">
            <v/>
          </cell>
          <cell r="AA190">
            <v>0</v>
          </cell>
          <cell r="AB190">
            <v>0</v>
          </cell>
        </row>
        <row r="191">
          <cell r="X191">
            <v>0</v>
          </cell>
          <cell r="Z191" t="str">
            <v/>
          </cell>
          <cell r="AA191">
            <v>0</v>
          </cell>
          <cell r="AB191">
            <v>0</v>
          </cell>
        </row>
        <row r="192">
          <cell r="X192">
            <v>0</v>
          </cell>
          <cell r="Z192" t="str">
            <v/>
          </cell>
          <cell r="AA192">
            <v>0</v>
          </cell>
          <cell r="AB192">
            <v>0</v>
          </cell>
        </row>
        <row r="193">
          <cell r="X193">
            <v>0</v>
          </cell>
          <cell r="Z193" t="str">
            <v/>
          </cell>
          <cell r="AA193">
            <v>0</v>
          </cell>
          <cell r="AB193">
            <v>0</v>
          </cell>
        </row>
        <row r="194">
          <cell r="X194">
            <v>0</v>
          </cell>
          <cell r="Z194" t="str">
            <v/>
          </cell>
          <cell r="AA194">
            <v>0</v>
          </cell>
          <cell r="AB194">
            <v>0</v>
          </cell>
        </row>
        <row r="195">
          <cell r="X195">
            <v>0</v>
          </cell>
          <cell r="Z195" t="str">
            <v/>
          </cell>
          <cell r="AA195">
            <v>0</v>
          </cell>
          <cell r="AB195">
            <v>0</v>
          </cell>
        </row>
        <row r="196">
          <cell r="X196">
            <v>0</v>
          </cell>
          <cell r="Z196" t="str">
            <v/>
          </cell>
          <cell r="AA196">
            <v>0</v>
          </cell>
          <cell r="AB196">
            <v>0</v>
          </cell>
        </row>
        <row r="197">
          <cell r="X197">
            <v>0</v>
          </cell>
          <cell r="Z197" t="str">
            <v/>
          </cell>
          <cell r="AA197">
            <v>0</v>
          </cell>
          <cell r="AB197">
            <v>0</v>
          </cell>
        </row>
        <row r="198">
          <cell r="X198">
            <v>0</v>
          </cell>
          <cell r="Z198" t="str">
            <v/>
          </cell>
          <cell r="AA198">
            <v>0</v>
          </cell>
          <cell r="AB198">
            <v>0</v>
          </cell>
        </row>
        <row r="199">
          <cell r="X199">
            <v>0</v>
          </cell>
          <cell r="Z199" t="str">
            <v/>
          </cell>
          <cell r="AA199">
            <v>0</v>
          </cell>
          <cell r="AB199">
            <v>0</v>
          </cell>
        </row>
        <row r="200">
          <cell r="X200">
            <v>0</v>
          </cell>
          <cell r="Z200" t="str">
            <v/>
          </cell>
          <cell r="AA200">
            <v>0</v>
          </cell>
          <cell r="AB200">
            <v>0</v>
          </cell>
        </row>
        <row r="201">
          <cell r="X201">
            <v>0</v>
          </cell>
          <cell r="Z201" t="str">
            <v/>
          </cell>
          <cell r="AA201">
            <v>0</v>
          </cell>
          <cell r="AB201">
            <v>0</v>
          </cell>
        </row>
        <row r="202">
          <cell r="X202">
            <v>0</v>
          </cell>
          <cell r="Z202" t="str">
            <v/>
          </cell>
          <cell r="AA202">
            <v>0</v>
          </cell>
          <cell r="AB202">
            <v>0</v>
          </cell>
        </row>
        <row r="203">
          <cell r="X203">
            <v>0</v>
          </cell>
          <cell r="Z203" t="str">
            <v/>
          </cell>
          <cell r="AA203">
            <v>0</v>
          </cell>
          <cell r="AB203">
            <v>0</v>
          </cell>
        </row>
        <row r="204">
          <cell r="X204">
            <v>0</v>
          </cell>
          <cell r="Z204" t="str">
            <v/>
          </cell>
          <cell r="AA204">
            <v>0</v>
          </cell>
          <cell r="AB204">
            <v>0</v>
          </cell>
        </row>
        <row r="205">
          <cell r="X205">
            <v>0</v>
          </cell>
          <cell r="Z205" t="str">
            <v/>
          </cell>
          <cell r="AA205">
            <v>0</v>
          </cell>
          <cell r="AB205">
            <v>0</v>
          </cell>
        </row>
        <row r="206">
          <cell r="X206">
            <v>0</v>
          </cell>
          <cell r="Z206" t="str">
            <v/>
          </cell>
          <cell r="AA206">
            <v>0</v>
          </cell>
          <cell r="AB206">
            <v>0</v>
          </cell>
        </row>
        <row r="207">
          <cell r="X207">
            <v>0</v>
          </cell>
          <cell r="Z207" t="str">
            <v/>
          </cell>
          <cell r="AA207">
            <v>0</v>
          </cell>
          <cell r="AB207">
            <v>0</v>
          </cell>
        </row>
        <row r="208">
          <cell r="X208">
            <v>0</v>
          </cell>
          <cell r="Z208" t="str">
            <v/>
          </cell>
          <cell r="AA208">
            <v>0</v>
          </cell>
          <cell r="AB208">
            <v>0</v>
          </cell>
        </row>
        <row r="209">
          <cell r="X209">
            <v>0</v>
          </cell>
          <cell r="Z209" t="str">
            <v/>
          </cell>
          <cell r="AA209">
            <v>0</v>
          </cell>
          <cell r="AB209">
            <v>0</v>
          </cell>
        </row>
        <row r="210">
          <cell r="X210">
            <v>0</v>
          </cell>
          <cell r="Z210" t="str">
            <v/>
          </cell>
          <cell r="AA210">
            <v>0</v>
          </cell>
          <cell r="AB210">
            <v>0</v>
          </cell>
        </row>
        <row r="211">
          <cell r="X211">
            <v>0</v>
          </cell>
          <cell r="Z211" t="str">
            <v/>
          </cell>
          <cell r="AA211">
            <v>0</v>
          </cell>
          <cell r="AB211">
            <v>0</v>
          </cell>
        </row>
        <row r="212">
          <cell r="X212">
            <v>0</v>
          </cell>
          <cell r="Z212" t="str">
            <v/>
          </cell>
          <cell r="AA212">
            <v>0</v>
          </cell>
          <cell r="AB212">
            <v>0</v>
          </cell>
        </row>
        <row r="213">
          <cell r="X213">
            <v>0</v>
          </cell>
          <cell r="Z213" t="str">
            <v/>
          </cell>
          <cell r="AA213">
            <v>0</v>
          </cell>
          <cell r="AB213">
            <v>0</v>
          </cell>
        </row>
        <row r="214">
          <cell r="X214">
            <v>0</v>
          </cell>
          <cell r="Z214" t="str">
            <v/>
          </cell>
          <cell r="AA214">
            <v>0</v>
          </cell>
          <cell r="AB214">
            <v>0</v>
          </cell>
        </row>
        <row r="215">
          <cell r="X215">
            <v>0</v>
          </cell>
          <cell r="Z215" t="str">
            <v/>
          </cell>
          <cell r="AA215">
            <v>0</v>
          </cell>
          <cell r="AB215">
            <v>0</v>
          </cell>
        </row>
        <row r="216">
          <cell r="X216">
            <v>0</v>
          </cell>
          <cell r="Z216" t="str">
            <v/>
          </cell>
          <cell r="AA216">
            <v>0</v>
          </cell>
          <cell r="AB216">
            <v>0</v>
          </cell>
        </row>
        <row r="217">
          <cell r="X217">
            <v>0</v>
          </cell>
          <cell r="Z217" t="str">
            <v/>
          </cell>
          <cell r="AA217">
            <v>0</v>
          </cell>
          <cell r="AB217">
            <v>0</v>
          </cell>
        </row>
        <row r="218">
          <cell r="X218">
            <v>0</v>
          </cell>
          <cell r="Z218" t="str">
            <v/>
          </cell>
          <cell r="AA218">
            <v>0</v>
          </cell>
          <cell r="AB218">
            <v>0</v>
          </cell>
        </row>
        <row r="219">
          <cell r="X219">
            <v>0</v>
          </cell>
          <cell r="Z219" t="str">
            <v/>
          </cell>
          <cell r="AA219">
            <v>0</v>
          </cell>
          <cell r="AB219">
            <v>0</v>
          </cell>
        </row>
        <row r="220">
          <cell r="X220">
            <v>0</v>
          </cell>
          <cell r="Z220" t="str">
            <v/>
          </cell>
          <cell r="AA220">
            <v>0</v>
          </cell>
          <cell r="AB220">
            <v>0</v>
          </cell>
        </row>
        <row r="221">
          <cell r="X221">
            <v>0</v>
          </cell>
          <cell r="Z221" t="str">
            <v/>
          </cell>
          <cell r="AA221">
            <v>0</v>
          </cell>
          <cell r="AB221">
            <v>0</v>
          </cell>
        </row>
        <row r="222">
          <cell r="X222">
            <v>0</v>
          </cell>
          <cell r="Z222" t="str">
            <v/>
          </cell>
          <cell r="AA222">
            <v>0</v>
          </cell>
          <cell r="AB222">
            <v>0</v>
          </cell>
        </row>
        <row r="223">
          <cell r="X223">
            <v>0</v>
          </cell>
          <cell r="Z223" t="str">
            <v/>
          </cell>
          <cell r="AA223">
            <v>0</v>
          </cell>
          <cell r="AB223">
            <v>0</v>
          </cell>
        </row>
        <row r="224">
          <cell r="X224">
            <v>0</v>
          </cell>
          <cell r="Z224" t="str">
            <v/>
          </cell>
          <cell r="AA224">
            <v>0</v>
          </cell>
          <cell r="AB224">
            <v>0</v>
          </cell>
        </row>
        <row r="225">
          <cell r="X225">
            <v>0</v>
          </cell>
          <cell r="Z225" t="str">
            <v/>
          </cell>
          <cell r="AA225">
            <v>0</v>
          </cell>
          <cell r="AB225">
            <v>0</v>
          </cell>
        </row>
        <row r="226">
          <cell r="X226">
            <v>0</v>
          </cell>
          <cell r="Z226" t="str">
            <v/>
          </cell>
          <cell r="AA226">
            <v>0</v>
          </cell>
          <cell r="AB226">
            <v>0</v>
          </cell>
        </row>
        <row r="227">
          <cell r="X227">
            <v>0</v>
          </cell>
          <cell r="Z227" t="str">
            <v/>
          </cell>
          <cell r="AA227">
            <v>0</v>
          </cell>
          <cell r="AB227">
            <v>0</v>
          </cell>
        </row>
        <row r="228">
          <cell r="X228">
            <v>0</v>
          </cell>
          <cell r="Z228" t="str">
            <v/>
          </cell>
          <cell r="AA228">
            <v>0</v>
          </cell>
          <cell r="AB228">
            <v>0</v>
          </cell>
        </row>
        <row r="229">
          <cell r="X229">
            <v>0</v>
          </cell>
          <cell r="Z229" t="str">
            <v/>
          </cell>
          <cell r="AA229">
            <v>0</v>
          </cell>
          <cell r="AB229">
            <v>0</v>
          </cell>
        </row>
        <row r="230">
          <cell r="X230">
            <v>0</v>
          </cell>
          <cell r="Z230" t="str">
            <v/>
          </cell>
          <cell r="AA230">
            <v>0</v>
          </cell>
          <cell r="AB230">
            <v>0</v>
          </cell>
        </row>
        <row r="231">
          <cell r="X231">
            <v>0</v>
          </cell>
          <cell r="Z231" t="str">
            <v/>
          </cell>
          <cell r="AA231">
            <v>0</v>
          </cell>
          <cell r="AB231">
            <v>0</v>
          </cell>
        </row>
        <row r="232">
          <cell r="X232">
            <v>0</v>
          </cell>
          <cell r="Z232" t="str">
            <v/>
          </cell>
          <cell r="AA232">
            <v>0</v>
          </cell>
          <cell r="AB232">
            <v>0</v>
          </cell>
        </row>
        <row r="233">
          <cell r="X233">
            <v>0</v>
          </cell>
          <cell r="Z233" t="str">
            <v/>
          </cell>
          <cell r="AA233">
            <v>0</v>
          </cell>
          <cell r="AB233">
            <v>0</v>
          </cell>
        </row>
        <row r="234">
          <cell r="X234">
            <v>0</v>
          </cell>
          <cell r="Z234" t="str">
            <v/>
          </cell>
          <cell r="AA234">
            <v>0</v>
          </cell>
          <cell r="AB234">
            <v>0</v>
          </cell>
        </row>
        <row r="235">
          <cell r="X235">
            <v>0</v>
          </cell>
          <cell r="Z235" t="str">
            <v/>
          </cell>
          <cell r="AA235">
            <v>0</v>
          </cell>
          <cell r="AB235">
            <v>0</v>
          </cell>
        </row>
        <row r="236">
          <cell r="X236">
            <v>0</v>
          </cell>
          <cell r="Z236" t="str">
            <v/>
          </cell>
          <cell r="AA236">
            <v>0</v>
          </cell>
          <cell r="AB236">
            <v>0</v>
          </cell>
        </row>
        <row r="237">
          <cell r="M237"/>
          <cell r="P237"/>
          <cell r="Q237"/>
          <cell r="R237"/>
          <cell r="S237"/>
          <cell r="T237"/>
          <cell r="U237"/>
          <cell r="V237"/>
          <cell r="X237"/>
          <cell r="AH237"/>
          <cell r="AJ237"/>
          <cell r="AL237"/>
        </row>
      </sheetData>
      <sheetData sheetId="5">
        <row r="12">
          <cell r="A12" t="str">
            <v>Manual</v>
          </cell>
          <cell r="Q12" t="str">
            <v>AVENIDA CHICO BRITO</v>
          </cell>
          <cell r="AA12" t="str">
            <v>.</v>
          </cell>
        </row>
        <row r="15">
          <cell r="I15"/>
          <cell r="M15">
            <v>0</v>
          </cell>
          <cell r="Q15">
            <v>959744.16</v>
          </cell>
        </row>
        <row r="16">
          <cell r="M16" t="str">
            <v/>
          </cell>
        </row>
        <row r="17">
          <cell r="M17" t="str">
            <v/>
          </cell>
        </row>
        <row r="18">
          <cell r="M18">
            <v>2</v>
          </cell>
        </row>
        <row r="19">
          <cell r="M19">
            <v>2</v>
          </cell>
        </row>
        <row r="20">
          <cell r="M20" t="str">
            <v/>
          </cell>
        </row>
        <row r="21">
          <cell r="M21">
            <v>3</v>
          </cell>
        </row>
        <row r="22">
          <cell r="M22">
            <v>3</v>
          </cell>
        </row>
        <row r="23">
          <cell r="M23">
            <v>3</v>
          </cell>
        </row>
        <row r="24">
          <cell r="M24">
            <v>3</v>
          </cell>
        </row>
        <row r="25">
          <cell r="M25">
            <v>0</v>
          </cell>
        </row>
        <row r="26">
          <cell r="M26">
            <v>3</v>
          </cell>
        </row>
        <row r="27">
          <cell r="M27" t="str">
            <v/>
          </cell>
        </row>
        <row r="28">
          <cell r="M28">
            <v>4</v>
          </cell>
        </row>
        <row r="29">
          <cell r="M29" t="str">
            <v/>
          </cell>
        </row>
        <row r="30">
          <cell r="M30" t="str">
            <v/>
          </cell>
        </row>
        <row r="31">
          <cell r="M31">
            <v>5</v>
          </cell>
        </row>
        <row r="32">
          <cell r="M32">
            <v>5</v>
          </cell>
        </row>
        <row r="33">
          <cell r="M33" t="str">
            <v/>
          </cell>
        </row>
        <row r="34">
          <cell r="M34">
            <v>6</v>
          </cell>
        </row>
        <row r="35">
          <cell r="M35">
            <v>6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0</v>
          </cell>
        </row>
        <row r="153">
          <cell r="M153">
            <v>0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0</v>
          </cell>
        </row>
        <row r="157">
          <cell r="M157">
            <v>0</v>
          </cell>
        </row>
        <row r="158">
          <cell r="M158">
            <v>0</v>
          </cell>
        </row>
        <row r="159">
          <cell r="M159">
            <v>0</v>
          </cell>
        </row>
        <row r="160">
          <cell r="M160">
            <v>0</v>
          </cell>
        </row>
        <row r="161">
          <cell r="M161">
            <v>0</v>
          </cell>
        </row>
        <row r="162">
          <cell r="M162">
            <v>0</v>
          </cell>
        </row>
        <row r="163">
          <cell r="M163">
            <v>0</v>
          </cell>
        </row>
        <row r="164">
          <cell r="M164">
            <v>0</v>
          </cell>
        </row>
        <row r="165">
          <cell r="M165">
            <v>0</v>
          </cell>
        </row>
        <row r="166">
          <cell r="M166">
            <v>0</v>
          </cell>
        </row>
        <row r="167">
          <cell r="M167">
            <v>0</v>
          </cell>
        </row>
        <row r="168">
          <cell r="M168">
            <v>0</v>
          </cell>
        </row>
        <row r="169">
          <cell r="M169">
            <v>0</v>
          </cell>
        </row>
        <row r="170">
          <cell r="M170">
            <v>0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>
            <v>0</v>
          </cell>
        </row>
        <row r="176">
          <cell r="M176">
            <v>0</v>
          </cell>
        </row>
        <row r="177">
          <cell r="M177">
            <v>0</v>
          </cell>
        </row>
        <row r="178">
          <cell r="M178">
            <v>0</v>
          </cell>
        </row>
        <row r="179">
          <cell r="M179">
            <v>0</v>
          </cell>
        </row>
        <row r="180">
          <cell r="M180">
            <v>0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0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  <row r="187">
          <cell r="M187">
            <v>0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2"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0</v>
          </cell>
        </row>
        <row r="202">
          <cell r="M202">
            <v>0</v>
          </cell>
        </row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0</v>
          </cell>
        </row>
        <row r="207">
          <cell r="M207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  <row r="212"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  <row r="222">
          <cell r="M222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  <row r="227">
          <cell r="M227">
            <v>0</v>
          </cell>
        </row>
        <row r="228">
          <cell r="M228">
            <v>0</v>
          </cell>
        </row>
        <row r="229">
          <cell r="M229">
            <v>0</v>
          </cell>
        </row>
        <row r="230">
          <cell r="M230">
            <v>0</v>
          </cell>
        </row>
        <row r="231">
          <cell r="M231">
            <v>0</v>
          </cell>
        </row>
        <row r="232"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I237"/>
          <cell r="M237"/>
        </row>
      </sheetData>
      <sheetData sheetId="6">
        <row r="14">
          <cell r="C14" t="e">
            <v>#VALUE!</v>
          </cell>
        </row>
        <row r="15">
          <cell r="B15" t="str">
            <v>1.Administração Local</v>
          </cell>
          <cell r="C15">
            <v>1</v>
          </cell>
          <cell r="D15" t="str">
            <v>Administração Local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11</v>
          </cell>
        </row>
        <row r="26">
          <cell r="C26">
            <v>12</v>
          </cell>
        </row>
        <row r="27">
          <cell r="C27">
            <v>13</v>
          </cell>
        </row>
        <row r="28">
          <cell r="C28">
            <v>14</v>
          </cell>
        </row>
        <row r="29">
          <cell r="C29">
            <v>15</v>
          </cell>
        </row>
        <row r="30">
          <cell r="C30">
            <v>16</v>
          </cell>
        </row>
        <row r="31">
          <cell r="C31">
            <v>17</v>
          </cell>
        </row>
        <row r="32">
          <cell r="C32">
            <v>18</v>
          </cell>
        </row>
        <row r="33">
          <cell r="C33">
            <v>19</v>
          </cell>
        </row>
        <row r="34">
          <cell r="C34">
            <v>20</v>
          </cell>
        </row>
        <row r="35">
          <cell r="C35">
            <v>21</v>
          </cell>
        </row>
        <row r="36">
          <cell r="C36">
            <v>22</v>
          </cell>
        </row>
        <row r="37">
          <cell r="C37">
            <v>23</v>
          </cell>
        </row>
        <row r="38">
          <cell r="C38">
            <v>24</v>
          </cell>
        </row>
        <row r="39">
          <cell r="C39">
            <v>25</v>
          </cell>
        </row>
        <row r="40">
          <cell r="C40">
            <v>26</v>
          </cell>
        </row>
        <row r="41">
          <cell r="C41">
            <v>27</v>
          </cell>
        </row>
        <row r="42">
          <cell r="C42">
            <v>28</v>
          </cell>
        </row>
        <row r="43">
          <cell r="C43">
            <v>29</v>
          </cell>
        </row>
        <row r="44">
          <cell r="C44">
            <v>30</v>
          </cell>
        </row>
        <row r="45">
          <cell r="C45">
            <v>31</v>
          </cell>
        </row>
        <row r="46">
          <cell r="C46">
            <v>32</v>
          </cell>
        </row>
        <row r="47">
          <cell r="C47">
            <v>33</v>
          </cell>
        </row>
        <row r="48">
          <cell r="C48">
            <v>34</v>
          </cell>
        </row>
        <row r="49">
          <cell r="C49">
            <v>35</v>
          </cell>
        </row>
        <row r="50">
          <cell r="C50">
            <v>36</v>
          </cell>
        </row>
        <row r="51">
          <cell r="C51">
            <v>37</v>
          </cell>
        </row>
        <row r="52">
          <cell r="C52">
            <v>38</v>
          </cell>
        </row>
        <row r="53">
          <cell r="C53">
            <v>39</v>
          </cell>
        </row>
        <row r="54">
          <cell r="C54">
            <v>40</v>
          </cell>
        </row>
        <row r="55">
          <cell r="C55">
            <v>41</v>
          </cell>
        </row>
        <row r="56">
          <cell r="C56">
            <v>42</v>
          </cell>
        </row>
        <row r="57">
          <cell r="C57">
            <v>43</v>
          </cell>
        </row>
        <row r="58">
          <cell r="C58">
            <v>44</v>
          </cell>
        </row>
        <row r="59">
          <cell r="C59">
            <v>45</v>
          </cell>
        </row>
        <row r="60">
          <cell r="C60">
            <v>46</v>
          </cell>
        </row>
        <row r="61">
          <cell r="C61">
            <v>47</v>
          </cell>
        </row>
        <row r="62">
          <cell r="C62">
            <v>48</v>
          </cell>
        </row>
        <row r="63">
          <cell r="C63">
            <v>49</v>
          </cell>
        </row>
        <row r="64">
          <cell r="C64">
            <v>50</v>
          </cell>
        </row>
        <row r="65">
          <cell r="C65">
            <v>51</v>
          </cell>
        </row>
        <row r="66">
          <cell r="C66">
            <v>52</v>
          </cell>
        </row>
        <row r="67">
          <cell r="C67">
            <v>53</v>
          </cell>
        </row>
        <row r="68">
          <cell r="C68">
            <v>54</v>
          </cell>
        </row>
        <row r="69">
          <cell r="C69">
            <v>55</v>
          </cell>
        </row>
        <row r="70">
          <cell r="C70"/>
          <cell r="D70"/>
        </row>
      </sheetData>
      <sheetData sheetId="7">
        <row r="10">
          <cell r="G10">
            <v>2</v>
          </cell>
        </row>
      </sheetData>
      <sheetData sheetId="8"/>
      <sheetData sheetId="9">
        <row r="9">
          <cell r="J9">
            <v>1</v>
          </cell>
        </row>
        <row r="15">
          <cell r="A15" t="str">
            <v/>
          </cell>
          <cell r="B15">
            <v>1</v>
          </cell>
          <cell r="C15" t="str">
            <v>Administração Local</v>
          </cell>
          <cell r="D15"/>
          <cell r="F15"/>
          <cell r="H15" t="str">
            <v>A administração local será proporcional a execução dos demais eventos, independente de frentes de obra.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</row>
        <row r="70">
          <cell r="A70" t="str">
            <v>F</v>
          </cell>
          <cell r="B70"/>
          <cell r="C70"/>
          <cell r="D70"/>
          <cell r="F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</row>
      </sheetData>
      <sheetData sheetId="10">
        <row r="13">
          <cell r="B13" t="str">
            <v>Busca</v>
          </cell>
          <cell r="E13" t="str">
            <v>Item de Investimento</v>
          </cell>
          <cell r="F13" t="str">
            <v>Subitem de Investimento</v>
          </cell>
          <cell r="H13" t="str">
            <v>Situação</v>
          </cell>
          <cell r="I13" t="str">
            <v>Quantidade</v>
          </cell>
          <cell r="O13" t="str">
            <v>Investimento (R$)</v>
          </cell>
          <cell r="R13" t="str">
            <v>Descrição da Meta</v>
          </cell>
          <cell r="T13" t="str">
            <v>Lote de Licitação / nº do CTEF</v>
          </cell>
          <cell r="U13" t="str">
            <v>Investimento (R$)</v>
          </cell>
          <cell r="V13" t="str">
            <v>Divisão do Investimento</v>
          </cell>
          <cell r="W13" t="str">
            <v>Contrapartida Financeira (R$)</v>
          </cell>
          <cell r="X13" t="str">
            <v>Outros (R$)</v>
          </cell>
        </row>
        <row r="14">
          <cell r="B14" t="str">
            <v>Automático</v>
          </cell>
          <cell r="O14">
            <v>4263956.38</v>
          </cell>
          <cell r="AA14">
            <v>4263.9563800000005</v>
          </cell>
          <cell r="AB14">
            <v>0</v>
          </cell>
        </row>
        <row r="15">
          <cell r="B15" t="str">
            <v>Branco</v>
          </cell>
          <cell r="O15">
            <v>0</v>
          </cell>
          <cell r="AA15">
            <v>0</v>
          </cell>
          <cell r="AB15">
            <v>0</v>
          </cell>
        </row>
        <row r="16">
          <cell r="B16" t="str">
            <v>Branco</v>
          </cell>
          <cell r="O16">
            <v>0</v>
          </cell>
          <cell r="AA16">
            <v>0</v>
          </cell>
          <cell r="AB16">
            <v>0</v>
          </cell>
        </row>
        <row r="17">
          <cell r="B17" t="str">
            <v>Branco</v>
          </cell>
          <cell r="O17">
            <v>0</v>
          </cell>
          <cell r="AA17">
            <v>0</v>
          </cell>
          <cell r="AB17">
            <v>0</v>
          </cell>
        </row>
        <row r="18">
          <cell r="B18" t="str">
            <v>Branco</v>
          </cell>
          <cell r="O18">
            <v>0</v>
          </cell>
          <cell r="AA18">
            <v>0</v>
          </cell>
          <cell r="AB18">
            <v>0</v>
          </cell>
        </row>
        <row r="19">
          <cell r="B19" t="str">
            <v>Branco</v>
          </cell>
          <cell r="O19">
            <v>0</v>
          </cell>
          <cell r="AA19">
            <v>0</v>
          </cell>
          <cell r="AB19">
            <v>0</v>
          </cell>
        </row>
        <row r="20">
          <cell r="B20" t="str">
            <v>Branco</v>
          </cell>
          <cell r="O20">
            <v>0</v>
          </cell>
          <cell r="AA20">
            <v>0</v>
          </cell>
          <cell r="AB20">
            <v>0</v>
          </cell>
        </row>
        <row r="21">
          <cell r="B21" t="str">
            <v>Branco</v>
          </cell>
          <cell r="O21">
            <v>0</v>
          </cell>
          <cell r="AA21">
            <v>0</v>
          </cell>
          <cell r="AB21">
            <v>0</v>
          </cell>
        </row>
        <row r="22">
          <cell r="B22" t="str">
            <v>Branco</v>
          </cell>
          <cell r="O22">
            <v>0</v>
          </cell>
          <cell r="AA22">
            <v>0</v>
          </cell>
          <cell r="AB22">
            <v>0</v>
          </cell>
        </row>
        <row r="23">
          <cell r="B23" t="str">
            <v>Branco</v>
          </cell>
          <cell r="O23">
            <v>0</v>
          </cell>
          <cell r="AA23">
            <v>0</v>
          </cell>
          <cell r="AB23">
            <v>0</v>
          </cell>
        </row>
        <row r="24">
          <cell r="B24" t="str">
            <v>TR$</v>
          </cell>
          <cell r="E24"/>
          <cell r="F24"/>
          <cell r="H24"/>
          <cell r="I24"/>
          <cell r="O24">
            <v>4263956.38</v>
          </cell>
          <cell r="R24"/>
          <cell r="T24"/>
          <cell r="U24"/>
          <cell r="V24"/>
          <cell r="W24"/>
          <cell r="X24"/>
          <cell r="AA24">
            <v>4263.96</v>
          </cell>
          <cell r="AB24">
            <v>0</v>
          </cell>
        </row>
      </sheetData>
      <sheetData sheetId="11">
        <row r="3">
          <cell r="A3" t="b">
            <v>0</v>
          </cell>
        </row>
        <row r="7">
          <cell r="O7" t="str">
            <v>Nº MEDIÇÃO</v>
          </cell>
        </row>
        <row r="9">
          <cell r="A9" t="b">
            <v>1</v>
          </cell>
        </row>
        <row r="13">
          <cell r="AB13">
            <v>1</v>
          </cell>
          <cell r="AC13">
            <v>2</v>
          </cell>
          <cell r="AD13">
            <v>3</v>
          </cell>
          <cell r="AE13">
            <v>4</v>
          </cell>
          <cell r="AF13">
            <v>5</v>
          </cell>
          <cell r="AG13">
            <v>6</v>
          </cell>
          <cell r="AH13">
            <v>7</v>
          </cell>
          <cell r="AI13">
            <v>8</v>
          </cell>
          <cell r="AJ13">
            <v>9</v>
          </cell>
          <cell r="AK13">
            <v>10</v>
          </cell>
          <cell r="AL13">
            <v>11</v>
          </cell>
          <cell r="AM13">
            <v>12</v>
          </cell>
        </row>
        <row r="15">
          <cell r="R15"/>
        </row>
        <row r="237">
          <cell r="R237"/>
        </row>
      </sheetData>
      <sheetData sheetId="12">
        <row r="7">
          <cell r="O7">
            <v>4800000</v>
          </cell>
        </row>
        <row r="26">
          <cell r="AC26">
            <v>4263.96</v>
          </cell>
          <cell r="AD26">
            <v>4263.96</v>
          </cell>
        </row>
        <row r="27">
          <cell r="AC27">
            <v>0</v>
          </cell>
          <cell r="AD27">
            <v>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O20"/>
  <sheetViews>
    <sheetView showGridLines="0" showZeros="0" view="pageBreakPreview" zoomScaleNormal="115" zoomScaleSheetLayoutView="100" workbookViewId="0">
      <selection activeCell="B16" sqref="B16"/>
    </sheetView>
  </sheetViews>
  <sheetFormatPr defaultColWidth="9" defaultRowHeight="15" x14ac:dyDescent="0.25"/>
  <cols>
    <col min="1" max="1" width="9" style="116"/>
    <col min="2" max="2" width="5.25" style="116" customWidth="1"/>
    <col min="3" max="3" width="25" style="116" customWidth="1"/>
    <col min="4" max="4" width="30" style="116" customWidth="1"/>
    <col min="5" max="5" width="18" style="116" customWidth="1"/>
    <col min="6" max="6" width="16.5" style="116" customWidth="1"/>
    <col min="7" max="16384" width="9" style="116"/>
  </cols>
  <sheetData>
    <row r="1" spans="1:12" s="97" customFormat="1" ht="18.75" x14ac:dyDescent="0.2">
      <c r="A1" s="322" t="s">
        <v>170</v>
      </c>
      <c r="B1" s="323"/>
      <c r="C1" s="323"/>
      <c r="D1" s="323"/>
      <c r="E1" s="323"/>
      <c r="F1" s="324"/>
      <c r="G1" s="123"/>
      <c r="H1" s="123"/>
      <c r="I1" s="123"/>
      <c r="J1" s="123"/>
      <c r="K1" s="123"/>
      <c r="L1" s="123"/>
    </row>
    <row r="2" spans="1:12" s="97" customFormat="1" ht="15.75" x14ac:dyDescent="0.2">
      <c r="A2" s="325" t="s">
        <v>171</v>
      </c>
      <c r="B2" s="326"/>
      <c r="C2" s="326"/>
      <c r="D2" s="326"/>
      <c r="E2" s="326"/>
      <c r="F2" s="327"/>
      <c r="G2" s="124"/>
      <c r="H2" s="124"/>
      <c r="I2" s="124"/>
      <c r="J2" s="124"/>
      <c r="K2" s="124"/>
      <c r="L2" s="124"/>
    </row>
    <row r="3" spans="1:12" s="97" customFormat="1" ht="14.25" x14ac:dyDescent="0.2">
      <c r="A3" s="328" t="s">
        <v>172</v>
      </c>
      <c r="B3" s="329"/>
      <c r="C3" s="329"/>
      <c r="D3" s="329"/>
      <c r="E3" s="329"/>
      <c r="F3" s="330"/>
      <c r="G3" s="125"/>
      <c r="H3" s="125"/>
      <c r="I3" s="125"/>
      <c r="J3" s="125"/>
      <c r="K3" s="125"/>
      <c r="L3" s="125"/>
    </row>
    <row r="4" spans="1:12" s="97" customFormat="1" ht="14.25" x14ac:dyDescent="0.2">
      <c r="A4" s="328" t="s">
        <v>173</v>
      </c>
      <c r="B4" s="329"/>
      <c r="C4" s="329"/>
      <c r="D4" s="329"/>
      <c r="E4" s="329"/>
      <c r="F4" s="330"/>
      <c r="G4" s="125"/>
      <c r="H4" s="125"/>
      <c r="I4" s="125"/>
      <c r="J4" s="125"/>
      <c r="K4" s="125"/>
      <c r="L4" s="125"/>
    </row>
    <row r="5" spans="1:12" s="97" customFormat="1" ht="14.25" x14ac:dyDescent="0.2">
      <c r="A5" s="331"/>
      <c r="B5" s="332"/>
      <c r="C5" s="332"/>
      <c r="D5" s="332"/>
      <c r="E5" s="332"/>
      <c r="F5" s="333"/>
    </row>
    <row r="6" spans="1:12" s="97" customFormat="1" ht="15" customHeight="1" x14ac:dyDescent="0.2">
      <c r="A6" s="5" t="s">
        <v>65</v>
      </c>
      <c r="B6" s="334" t="s">
        <v>66</v>
      </c>
      <c r="C6" s="334"/>
      <c r="D6" s="334"/>
      <c r="E6" s="334"/>
      <c r="F6" s="335"/>
    </row>
    <row r="7" spans="1:12" s="97" customFormat="1" ht="14.25" x14ac:dyDescent="0.2">
      <c r="A7" s="6" t="s">
        <v>67</v>
      </c>
      <c r="B7" s="336" t="s">
        <v>68</v>
      </c>
      <c r="C7" s="336"/>
      <c r="D7" s="336"/>
      <c r="E7" s="336"/>
      <c r="F7" s="337"/>
    </row>
    <row r="8" spans="1:12" s="97" customFormat="1" ht="14.25" x14ac:dyDescent="0.2">
      <c r="A8" s="6" t="s">
        <v>69</v>
      </c>
      <c r="B8" s="336" t="s">
        <v>170</v>
      </c>
      <c r="C8" s="336"/>
      <c r="D8" s="336"/>
      <c r="E8" s="336"/>
      <c r="F8" s="337"/>
    </row>
    <row r="9" spans="1:12" s="97" customFormat="1" ht="15.75" customHeight="1" x14ac:dyDescent="0.2">
      <c r="A9" s="7" t="s">
        <v>70</v>
      </c>
      <c r="B9" s="338" t="s">
        <v>417</v>
      </c>
      <c r="C9" s="339"/>
      <c r="D9" s="339"/>
      <c r="E9" s="339"/>
      <c r="F9" s="340"/>
    </row>
    <row r="10" spans="1:12" s="97" customFormat="1" x14ac:dyDescent="0.2">
      <c r="A10" s="341" t="s">
        <v>143</v>
      </c>
      <c r="B10" s="342"/>
      <c r="C10" s="342"/>
      <c r="D10" s="342"/>
      <c r="E10" s="342"/>
      <c r="F10" s="343"/>
    </row>
    <row r="11" spans="1:12" s="97" customFormat="1" ht="22.5" customHeight="1" x14ac:dyDescent="0.2">
      <c r="A11" s="98" t="s">
        <v>90</v>
      </c>
      <c r="B11" s="344" t="s">
        <v>144</v>
      </c>
      <c r="C11" s="345"/>
      <c r="D11" s="346"/>
      <c r="E11" s="99" t="s">
        <v>145</v>
      </c>
      <c r="F11" s="100" t="s">
        <v>146</v>
      </c>
    </row>
    <row r="12" spans="1:12" s="97" customFormat="1" ht="20.100000000000001" customHeight="1" x14ac:dyDescent="0.2">
      <c r="A12" s="101" t="s">
        <v>147</v>
      </c>
      <c r="B12" s="102" t="str">
        <f>'Orçamento Sintético'!D15</f>
        <v>ADMINISTRAÇÃO LOCAL</v>
      </c>
      <c r="C12" s="103"/>
      <c r="D12" s="104"/>
      <c r="E12" s="105">
        <f>'Orçamento Sintético'!I15</f>
        <v>43369.48</v>
      </c>
      <c r="F12" s="106">
        <f>E12/$E$19</f>
        <v>2.5432013402462327E-2</v>
      </c>
    </row>
    <row r="13" spans="1:12" s="97" customFormat="1" ht="20.100000000000001" customHeight="1" x14ac:dyDescent="0.2">
      <c r="A13" s="107" t="s">
        <v>148</v>
      </c>
      <c r="B13" s="102" t="str">
        <f>'Orçamento Sintético'!D17</f>
        <v>SERVIÇOS PRELIMINARES</v>
      </c>
      <c r="C13" s="108"/>
      <c r="D13" s="109"/>
      <c r="E13" s="110">
        <f>'Orçamento Sintético'!I17</f>
        <v>43242.78</v>
      </c>
      <c r="F13" s="106">
        <f t="shared" ref="F13:F17" si="0">E13/$E$19</f>
        <v>2.5357716083285523E-2</v>
      </c>
    </row>
    <row r="14" spans="1:12" s="97" customFormat="1" ht="20.100000000000001" customHeight="1" x14ac:dyDescent="0.2">
      <c r="A14" s="107">
        <f>'Orçamento Sintético'!A21</f>
        <v>3</v>
      </c>
      <c r="B14" s="102" t="str">
        <f>'Orçamento Sintético'!D21</f>
        <v>TERRAPLANAGEM</v>
      </c>
      <c r="C14" s="108"/>
      <c r="D14" s="109"/>
      <c r="E14" s="110">
        <f>'Orçamento Sintético'!I21</f>
        <v>296245.24</v>
      </c>
      <c r="F14" s="106">
        <f>'Orçamento Sintético'!J21</f>
        <v>0.17371923560290942</v>
      </c>
    </row>
    <row r="15" spans="1:12" s="97" customFormat="1" ht="20.100000000000001" customHeight="1" x14ac:dyDescent="0.2">
      <c r="A15" s="107" t="s">
        <v>149</v>
      </c>
      <c r="B15" s="102" t="str">
        <f>'Orçamento Sintético'!D27</f>
        <v>PAVIMENTAÇÃO TSD</v>
      </c>
      <c r="C15" s="108"/>
      <c r="D15" s="109"/>
      <c r="E15" s="110">
        <f>'Orçamento Sintético'!I27</f>
        <v>824510.4</v>
      </c>
      <c r="F15" s="106">
        <f t="shared" si="0"/>
        <v>0.48349575653822863</v>
      </c>
    </row>
    <row r="16" spans="1:12" s="97" customFormat="1" ht="20.100000000000001" customHeight="1" x14ac:dyDescent="0.2">
      <c r="A16" s="107" t="s">
        <v>150</v>
      </c>
      <c r="B16" s="102" t="str">
        <f>'Orçamento Sintético'!D32</f>
        <v>DRENAGEM SUPERFICIAL</v>
      </c>
      <c r="C16" s="108"/>
      <c r="D16" s="109"/>
      <c r="E16" s="110">
        <f>'Orçamento Sintético'!I32</f>
        <v>387426</v>
      </c>
      <c r="F16" s="106">
        <f t="shared" si="0"/>
        <v>0.22718794932432598</v>
      </c>
    </row>
    <row r="17" spans="1:223" s="97" customFormat="1" ht="20.100000000000001" customHeight="1" x14ac:dyDescent="0.2">
      <c r="A17" s="107" t="s">
        <v>151</v>
      </c>
      <c r="B17" s="102" t="str">
        <f>'Orçamento Sintético'!D34</f>
        <v>SINALIZAÇÃO</v>
      </c>
      <c r="C17" s="108"/>
      <c r="D17" s="109"/>
      <c r="E17" s="110">
        <f>'Orçamento Sintético'!I34</f>
        <v>110516.62</v>
      </c>
      <c r="F17" s="106">
        <f t="shared" si="0"/>
        <v>6.4807329048788137E-2</v>
      </c>
    </row>
    <row r="18" spans="1:223" s="97" customFormat="1" ht="20.100000000000001" hidden="1" customHeight="1" x14ac:dyDescent="0.2">
      <c r="A18" s="107" t="s">
        <v>152</v>
      </c>
      <c r="B18" s="102" t="s">
        <v>153</v>
      </c>
      <c r="C18" s="108"/>
      <c r="D18" s="109"/>
      <c r="E18" s="110" t="e">
        <v>#N/A</v>
      </c>
      <c r="F18" s="106" t="e">
        <v>#N/A</v>
      </c>
    </row>
    <row r="19" spans="1:223" s="97" customFormat="1" ht="20.100000000000001" customHeight="1" x14ac:dyDescent="0.2">
      <c r="A19" s="320" t="s">
        <v>154</v>
      </c>
      <c r="B19" s="321"/>
      <c r="C19" s="321"/>
      <c r="D19" s="321"/>
      <c r="E19" s="111">
        <f>SUM(E12:E17)</f>
        <v>1705310.52</v>
      </c>
      <c r="F19" s="112">
        <f>SUM(F12:F17)</f>
        <v>1</v>
      </c>
      <c r="G19" s="113"/>
      <c r="H19" s="113"/>
      <c r="I19" s="114"/>
      <c r="J19" s="115"/>
      <c r="K19" s="113"/>
      <c r="L19" s="113"/>
      <c r="M19" s="113"/>
      <c r="N19" s="113"/>
      <c r="O19" s="114"/>
      <c r="P19" s="115"/>
      <c r="Q19" s="113"/>
      <c r="R19" s="113"/>
      <c r="S19" s="113"/>
      <c r="T19" s="113"/>
      <c r="U19" s="114"/>
      <c r="V19" s="115"/>
      <c r="W19" s="113"/>
      <c r="X19" s="113"/>
      <c r="Y19" s="113"/>
      <c r="Z19" s="113"/>
      <c r="AA19" s="114"/>
      <c r="AB19" s="115"/>
      <c r="AC19" s="113"/>
      <c r="AD19" s="113"/>
      <c r="AE19" s="113"/>
      <c r="AF19" s="113"/>
      <c r="AG19" s="114"/>
      <c r="AH19" s="115"/>
      <c r="AI19" s="113"/>
      <c r="AJ19" s="113"/>
      <c r="AK19" s="113"/>
      <c r="AL19" s="113"/>
      <c r="AM19" s="114"/>
      <c r="AN19" s="115"/>
      <c r="AO19" s="113"/>
      <c r="AP19" s="113"/>
      <c r="AQ19" s="113"/>
      <c r="AR19" s="113"/>
      <c r="AS19" s="114"/>
      <c r="AT19" s="115"/>
      <c r="AU19" s="113"/>
      <c r="AV19" s="113"/>
      <c r="AW19" s="113"/>
      <c r="AX19" s="113"/>
      <c r="AY19" s="114"/>
      <c r="AZ19" s="115"/>
      <c r="BA19" s="113"/>
      <c r="BB19" s="113"/>
      <c r="BC19" s="113"/>
      <c r="BD19" s="113"/>
      <c r="BE19" s="114"/>
      <c r="BF19" s="115"/>
      <c r="BG19" s="113"/>
      <c r="BH19" s="113"/>
      <c r="BI19" s="113"/>
      <c r="BJ19" s="113"/>
      <c r="BK19" s="114"/>
      <c r="BL19" s="115"/>
      <c r="BM19" s="113"/>
      <c r="BN19" s="113"/>
      <c r="BO19" s="113"/>
      <c r="BP19" s="113"/>
      <c r="BQ19" s="114"/>
      <c r="BR19" s="115"/>
      <c r="BS19" s="113"/>
      <c r="BT19" s="113"/>
      <c r="BU19" s="113"/>
      <c r="BV19" s="113"/>
      <c r="BW19" s="114"/>
      <c r="BX19" s="115"/>
      <c r="BY19" s="113"/>
      <c r="BZ19" s="113"/>
      <c r="CA19" s="113"/>
      <c r="CB19" s="113"/>
      <c r="CC19" s="114"/>
      <c r="CD19" s="115"/>
      <c r="CE19" s="113"/>
      <c r="CF19" s="113"/>
      <c r="CG19" s="113"/>
      <c r="CH19" s="113"/>
      <c r="CI19" s="114"/>
      <c r="CJ19" s="115"/>
      <c r="CK19" s="113"/>
      <c r="CL19" s="113"/>
      <c r="CM19" s="113"/>
      <c r="CN19" s="113"/>
      <c r="CO19" s="114"/>
      <c r="CP19" s="115"/>
      <c r="CQ19" s="113"/>
      <c r="CR19" s="113"/>
      <c r="CS19" s="113"/>
      <c r="CT19" s="113"/>
      <c r="CU19" s="114"/>
      <c r="CV19" s="115"/>
      <c r="CW19" s="113"/>
      <c r="CX19" s="113"/>
      <c r="CY19" s="113"/>
      <c r="CZ19" s="113"/>
      <c r="DA19" s="114"/>
      <c r="DB19" s="115"/>
      <c r="DC19" s="113"/>
      <c r="DD19" s="113"/>
      <c r="DE19" s="113"/>
      <c r="DF19" s="113"/>
      <c r="DG19" s="114"/>
      <c r="DH19" s="115"/>
      <c r="DI19" s="113"/>
      <c r="DJ19" s="113"/>
      <c r="DK19" s="113"/>
      <c r="DL19" s="113"/>
      <c r="DM19" s="114"/>
      <c r="DN19" s="115"/>
      <c r="DO19" s="113"/>
      <c r="DP19" s="113"/>
      <c r="DQ19" s="113"/>
      <c r="DR19" s="113"/>
      <c r="DS19" s="114"/>
      <c r="DT19" s="115"/>
      <c r="DU19" s="113"/>
      <c r="DV19" s="113"/>
      <c r="DW19" s="113"/>
      <c r="DX19" s="113"/>
      <c r="DY19" s="114"/>
      <c r="DZ19" s="115"/>
      <c r="EA19" s="113"/>
      <c r="EB19" s="113"/>
      <c r="EC19" s="113"/>
      <c r="ED19" s="113"/>
      <c r="EE19" s="114"/>
      <c r="EF19" s="115"/>
      <c r="EG19" s="113"/>
      <c r="EH19" s="113"/>
      <c r="EI19" s="113"/>
      <c r="EJ19" s="113"/>
      <c r="EK19" s="114"/>
      <c r="EL19" s="115"/>
      <c r="EM19" s="113"/>
      <c r="EN19" s="113"/>
      <c r="EO19" s="113"/>
      <c r="EP19" s="113"/>
      <c r="EQ19" s="114"/>
      <c r="ER19" s="115"/>
      <c r="ES19" s="113"/>
      <c r="ET19" s="113"/>
      <c r="EU19" s="113"/>
      <c r="EV19" s="113"/>
      <c r="EW19" s="114"/>
      <c r="EX19" s="115"/>
      <c r="EY19" s="113"/>
      <c r="EZ19" s="113"/>
      <c r="FA19" s="113"/>
      <c r="FB19" s="113"/>
      <c r="FC19" s="114"/>
      <c r="FD19" s="115"/>
      <c r="FE19" s="113"/>
      <c r="FF19" s="113"/>
      <c r="FG19" s="113"/>
      <c r="FH19" s="113"/>
      <c r="FI19" s="114"/>
      <c r="FJ19" s="115"/>
      <c r="FK19" s="113"/>
      <c r="FL19" s="113"/>
      <c r="FM19" s="113"/>
      <c r="FN19" s="113"/>
      <c r="FO19" s="114"/>
      <c r="FP19" s="115"/>
      <c r="FQ19" s="113"/>
      <c r="FR19" s="113"/>
      <c r="FS19" s="113"/>
      <c r="FT19" s="113"/>
      <c r="FU19" s="114"/>
      <c r="FV19" s="115"/>
      <c r="FW19" s="113"/>
      <c r="FX19" s="113"/>
      <c r="FY19" s="113"/>
      <c r="FZ19" s="113"/>
      <c r="GA19" s="114"/>
      <c r="GB19" s="115"/>
      <c r="GC19" s="113"/>
      <c r="GD19" s="113"/>
      <c r="GE19" s="113"/>
      <c r="GF19" s="113"/>
      <c r="GG19" s="114"/>
      <c r="GH19" s="115"/>
      <c r="GI19" s="113"/>
      <c r="GJ19" s="113"/>
      <c r="GK19" s="113"/>
      <c r="GL19" s="113"/>
      <c r="GM19" s="114"/>
      <c r="GN19" s="115"/>
      <c r="GO19" s="113"/>
      <c r="GP19" s="113"/>
      <c r="GQ19" s="113"/>
      <c r="GR19" s="113"/>
      <c r="GS19" s="114"/>
      <c r="GT19" s="115"/>
      <c r="GU19" s="113"/>
      <c r="GV19" s="113"/>
      <c r="GW19" s="113"/>
      <c r="GX19" s="113"/>
      <c r="GY19" s="114"/>
      <c r="GZ19" s="115"/>
      <c r="HA19" s="113"/>
      <c r="HB19" s="113"/>
      <c r="HC19" s="113"/>
      <c r="HD19" s="113"/>
      <c r="HE19" s="114"/>
      <c r="HF19" s="115"/>
      <c r="HG19" s="113"/>
      <c r="HH19" s="113"/>
      <c r="HI19" s="113"/>
      <c r="HJ19" s="113"/>
      <c r="HK19" s="114"/>
      <c r="HL19" s="115"/>
      <c r="HM19" s="113"/>
      <c r="HN19" s="113"/>
      <c r="HO19" s="113"/>
    </row>
    <row r="20" spans="1:223" x14ac:dyDescent="0.25">
      <c r="E20" s="117"/>
    </row>
  </sheetData>
  <mergeCells count="12">
    <mergeCell ref="A19:D19"/>
    <mergeCell ref="A1:F1"/>
    <mergeCell ref="A2:F2"/>
    <mergeCell ref="A3:F3"/>
    <mergeCell ref="A4:F4"/>
    <mergeCell ref="A5:F5"/>
    <mergeCell ref="B6:F6"/>
    <mergeCell ref="B7:F7"/>
    <mergeCell ref="B8:F8"/>
    <mergeCell ref="B9:F9"/>
    <mergeCell ref="A10:F10"/>
    <mergeCell ref="B11:D11"/>
  </mergeCells>
  <printOptions horizontalCentered="1"/>
  <pageMargins left="0.15748031496062992" right="0.19685039370078741" top="0.78740157480314965" bottom="0.78740157480314965" header="0.15748031496062992" footer="0.31496062992125984"/>
  <pageSetup paperSize="9" scale="95" firstPageNumber="25" orientation="landscape" useFirstPageNumber="1" r:id="rId1"/>
  <headerFooter scaleWithDoc="0">
    <oddFooter>&amp;C&amp;"Arial,Negrito"Kaik Eduardo Silva Vilar&amp;"Arial,Normal"
Engenheiro Civil
CREA: 241510947-9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9596D-30D5-4A0F-8A35-B1A3BF4F0F66}">
  <sheetPr>
    <pageSetUpPr fitToPage="1"/>
  </sheetPr>
  <dimension ref="A1:HT52"/>
  <sheetViews>
    <sheetView showGridLines="0" view="pageBreakPreview" topLeftCell="A10" zoomScale="70" zoomScaleNormal="115" zoomScaleSheetLayoutView="70" workbookViewId="0">
      <selection activeCell="E37" sqref="E37:E49"/>
    </sheetView>
  </sheetViews>
  <sheetFormatPr defaultRowHeight="15" x14ac:dyDescent="0.25"/>
  <cols>
    <col min="1" max="1" width="9" style="227"/>
    <col min="2" max="2" width="5.25" style="227" customWidth="1"/>
    <col min="3" max="3" width="35.625" style="227" customWidth="1"/>
    <col min="4" max="6" width="13.75" style="227" customWidth="1"/>
    <col min="7" max="7" width="16.375" style="227" customWidth="1"/>
    <col min="8" max="8" width="13.75" style="227" customWidth="1"/>
    <col min="9" max="9" width="21" style="227" customWidth="1"/>
    <col min="10" max="11" width="9" style="227"/>
    <col min="12" max="12" width="21.75" style="227" customWidth="1"/>
    <col min="13" max="16384" width="9" style="227"/>
  </cols>
  <sheetData>
    <row r="1" spans="1:17" s="11" customFormat="1" ht="7.5" customHeight="1" x14ac:dyDescent="0.25">
      <c r="B1" s="8"/>
      <c r="C1" s="9"/>
      <c r="D1" s="9"/>
      <c r="E1" s="10"/>
      <c r="F1" s="9"/>
      <c r="G1" s="10"/>
      <c r="H1" s="9"/>
      <c r="I1" s="10"/>
      <c r="J1" s="9"/>
      <c r="K1" s="10"/>
      <c r="L1" s="10"/>
      <c r="M1" s="9"/>
      <c r="N1" s="454"/>
      <c r="O1" s="455"/>
      <c r="P1" s="12"/>
    </row>
    <row r="2" spans="1:17" customFormat="1" ht="18.75" x14ac:dyDescent="0.2">
      <c r="A2" s="456" t="s">
        <v>170</v>
      </c>
      <c r="B2" s="457"/>
      <c r="C2" s="457"/>
      <c r="D2" s="457"/>
      <c r="E2" s="457"/>
      <c r="F2" s="457"/>
      <c r="G2" s="457"/>
      <c r="H2" s="457"/>
      <c r="I2" s="457"/>
      <c r="J2" s="457"/>
      <c r="K2" s="255"/>
      <c r="L2" s="255"/>
      <c r="M2" s="255"/>
      <c r="N2" s="255"/>
      <c r="O2" s="255"/>
      <c r="P2" s="255"/>
      <c r="Q2" s="255"/>
    </row>
    <row r="3" spans="1:17" customFormat="1" ht="15.75" x14ac:dyDescent="0.2">
      <c r="A3" s="325" t="s">
        <v>171</v>
      </c>
      <c r="B3" s="326"/>
      <c r="C3" s="326"/>
      <c r="D3" s="326"/>
      <c r="E3" s="326"/>
      <c r="F3" s="326"/>
      <c r="G3" s="326"/>
      <c r="H3" s="326"/>
      <c r="I3" s="326"/>
      <c r="J3" s="326"/>
      <c r="K3" s="124"/>
      <c r="L3" s="124"/>
      <c r="M3" s="124"/>
      <c r="N3" s="124"/>
      <c r="O3" s="124"/>
      <c r="P3" s="124"/>
      <c r="Q3" s="124"/>
    </row>
    <row r="4" spans="1:17" customFormat="1" ht="14.25" x14ac:dyDescent="0.2">
      <c r="A4" s="328" t="s">
        <v>172</v>
      </c>
      <c r="B4" s="329"/>
      <c r="C4" s="329"/>
      <c r="D4" s="329"/>
      <c r="E4" s="329"/>
      <c r="F4" s="329"/>
      <c r="G4" s="329"/>
      <c r="H4" s="329"/>
      <c r="I4" s="329"/>
      <c r="J4" s="329"/>
      <c r="K4" s="125"/>
      <c r="L4" s="125"/>
      <c r="M4" s="125"/>
      <c r="N4" s="125"/>
      <c r="O4" s="125"/>
      <c r="P4" s="125"/>
      <c r="Q4" s="125"/>
    </row>
    <row r="5" spans="1:17" customFormat="1" ht="14.25" x14ac:dyDescent="0.2">
      <c r="A5" s="328" t="s">
        <v>173</v>
      </c>
      <c r="B5" s="329"/>
      <c r="C5" s="329"/>
      <c r="D5" s="329"/>
      <c r="E5" s="329"/>
      <c r="F5" s="329"/>
      <c r="G5" s="329"/>
      <c r="H5" s="329"/>
      <c r="I5" s="329"/>
      <c r="J5" s="329"/>
      <c r="K5" s="125"/>
      <c r="L5" s="125"/>
      <c r="M5" s="125"/>
      <c r="N5" s="125"/>
      <c r="O5" s="125"/>
      <c r="P5" s="125"/>
      <c r="Q5" s="125"/>
    </row>
    <row r="6" spans="1:17" s="4" customFormat="1" x14ac:dyDescent="0.25">
      <c r="A6" s="24" t="s">
        <v>65</v>
      </c>
      <c r="B6" s="25"/>
      <c r="C6" s="25" t="s">
        <v>66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7" s="4" customFormat="1" x14ac:dyDescent="0.25">
      <c r="A7" s="24" t="s">
        <v>67</v>
      </c>
      <c r="B7" s="25"/>
      <c r="C7" s="25" t="s">
        <v>68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7" s="4" customFormat="1" x14ac:dyDescent="0.25">
      <c r="A8" s="24" t="s">
        <v>69</v>
      </c>
      <c r="B8" s="25"/>
      <c r="C8" s="25" t="s">
        <v>170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7" s="4" customFormat="1" ht="15.75" thickBot="1" x14ac:dyDescent="0.3">
      <c r="A9" s="24" t="s">
        <v>70</v>
      </c>
      <c r="B9" s="26"/>
      <c r="C9" s="26" t="s">
        <v>411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7" s="218" customFormat="1" ht="22.5" customHeight="1" x14ac:dyDescent="0.25">
      <c r="A10" s="414" t="s">
        <v>296</v>
      </c>
      <c r="B10" s="415"/>
      <c r="C10" s="415"/>
      <c r="D10" s="415"/>
      <c r="E10" s="415"/>
      <c r="F10" s="415"/>
      <c r="G10" s="415"/>
      <c r="H10" s="415"/>
      <c r="I10" s="415"/>
      <c r="J10" s="232"/>
      <c r="K10" s="232"/>
      <c r="L10" s="233" t="s">
        <v>297</v>
      </c>
    </row>
    <row r="11" spans="1:17" s="218" customFormat="1" ht="22.5" customHeight="1" thickBot="1" x14ac:dyDescent="0.3">
      <c r="A11" s="414" t="s">
        <v>298</v>
      </c>
      <c r="B11" s="415"/>
      <c r="C11" s="415"/>
      <c r="D11" s="415"/>
      <c r="E11" s="415"/>
      <c r="F11" s="415"/>
      <c r="G11" s="415"/>
      <c r="H11" s="415"/>
      <c r="I11" s="415"/>
      <c r="J11" s="232"/>
      <c r="K11" s="232"/>
      <c r="L11" s="234" t="s">
        <v>299</v>
      </c>
    </row>
    <row r="12" spans="1:17" s="219" customFormat="1" ht="12.75" x14ac:dyDescent="0.2">
      <c r="A12" s="460" t="s">
        <v>300</v>
      </c>
      <c r="B12" s="461"/>
      <c r="C12" s="461"/>
      <c r="D12" s="461"/>
      <c r="E12" s="461"/>
      <c r="F12" s="461"/>
      <c r="G12" s="461"/>
      <c r="H12" s="461"/>
      <c r="I12" s="462"/>
    </row>
    <row r="13" spans="1:17" s="219" customFormat="1" ht="12.75" customHeight="1" x14ac:dyDescent="0.2">
      <c r="A13" s="445" t="s">
        <v>90</v>
      </c>
      <c r="B13" s="446" t="s">
        <v>177</v>
      </c>
      <c r="C13" s="447"/>
      <c r="D13" s="451" t="s">
        <v>286</v>
      </c>
      <c r="E13" s="460" t="s">
        <v>301</v>
      </c>
      <c r="F13" s="462"/>
      <c r="G13" s="450" t="s">
        <v>302</v>
      </c>
      <c r="H13" s="451" t="s">
        <v>289</v>
      </c>
      <c r="I13" s="451" t="s">
        <v>290</v>
      </c>
    </row>
    <row r="14" spans="1:17" s="219" customFormat="1" ht="12.75" x14ac:dyDescent="0.2">
      <c r="A14" s="445"/>
      <c r="B14" s="446"/>
      <c r="C14" s="447"/>
      <c r="D14" s="451"/>
      <c r="E14" s="220" t="s">
        <v>291</v>
      </c>
      <c r="F14" s="220" t="s">
        <v>136</v>
      </c>
      <c r="G14" s="451"/>
      <c r="H14" s="451"/>
      <c r="I14" s="451"/>
    </row>
    <row r="15" spans="1:17" s="219" customFormat="1" ht="22.5" customHeight="1" x14ac:dyDescent="0.2">
      <c r="A15" s="417"/>
      <c r="B15" s="420"/>
      <c r="C15" s="421"/>
      <c r="D15" s="152" t="s">
        <v>185</v>
      </c>
      <c r="E15" s="152" t="s">
        <v>280</v>
      </c>
      <c r="F15" s="152"/>
      <c r="G15" s="152" t="s">
        <v>303</v>
      </c>
      <c r="H15" s="152" t="s">
        <v>293</v>
      </c>
      <c r="I15" s="152" t="s">
        <v>375</v>
      </c>
    </row>
    <row r="16" spans="1:17" s="219" customFormat="1" ht="20.100000000000001" customHeight="1" x14ac:dyDescent="0.2">
      <c r="A16" s="164">
        <v>1</v>
      </c>
      <c r="B16" s="442" t="str">
        <f>IMPRIMAÇÃO!B14</f>
        <v>ALAMEDA DAS GARRINCHAS</v>
      </c>
      <c r="C16" s="443"/>
      <c r="D16" s="221">
        <f>IMPRIMAÇÃO!H14</f>
        <v>1440.248</v>
      </c>
      <c r="E16" s="235">
        <v>1.1999999999999999E-3</v>
      </c>
      <c r="F16" s="221" t="s">
        <v>304</v>
      </c>
      <c r="G16" s="236">
        <f>D16*E16</f>
        <v>1.7282975999999999</v>
      </c>
      <c r="H16" s="176">
        <v>141</v>
      </c>
      <c r="I16" s="224">
        <f>H16*G16</f>
        <v>243.68996159999998</v>
      </c>
    </row>
    <row r="17" spans="1:228" s="219" customFormat="1" ht="20.100000000000001" customHeight="1" x14ac:dyDescent="0.2">
      <c r="A17" s="164">
        <v>2</v>
      </c>
      <c r="B17" s="442" t="str">
        <f>IMPRIMAÇÃO!B15</f>
        <v>RUA MARIA DE LOURDES VIEIRA</v>
      </c>
      <c r="C17" s="443"/>
      <c r="D17" s="221">
        <f>IMPRIMAÇÃO!H15</f>
        <v>1422.1560000000002</v>
      </c>
      <c r="E17" s="235">
        <v>1.1999999999999999E-3</v>
      </c>
      <c r="F17" s="221" t="s">
        <v>304</v>
      </c>
      <c r="G17" s="236">
        <f t="shared" ref="G17:G29" si="0">D17*E17</f>
        <v>1.7065872</v>
      </c>
      <c r="H17" s="176">
        <v>141</v>
      </c>
      <c r="I17" s="224">
        <f t="shared" ref="I17:I29" si="1">H17*G17</f>
        <v>240.62879519999998</v>
      </c>
    </row>
    <row r="18" spans="1:228" s="219" customFormat="1" ht="20.100000000000001" customHeight="1" x14ac:dyDescent="0.2">
      <c r="A18" s="164">
        <v>3</v>
      </c>
      <c r="B18" s="442" t="str">
        <f>IMPRIMAÇÃO!B16</f>
        <v>AV. JUVENTINO CIPRIANO DA EXALTAÇÃO</v>
      </c>
      <c r="C18" s="443"/>
      <c r="D18" s="221">
        <f>IMPRIMAÇÃO!H16</f>
        <v>994.59</v>
      </c>
      <c r="E18" s="235">
        <v>1.1999999999999999E-3</v>
      </c>
      <c r="F18" s="221" t="s">
        <v>304</v>
      </c>
      <c r="G18" s="236">
        <f t="shared" si="0"/>
        <v>1.193508</v>
      </c>
      <c r="H18" s="176">
        <v>141</v>
      </c>
      <c r="I18" s="224">
        <f t="shared" si="1"/>
        <v>168.284628</v>
      </c>
    </row>
    <row r="19" spans="1:228" s="219" customFormat="1" ht="20.100000000000001" customHeight="1" x14ac:dyDescent="0.2">
      <c r="A19" s="164">
        <v>4</v>
      </c>
      <c r="B19" s="442" t="str">
        <f>IMPRIMAÇÃO!B17</f>
        <v>AV. DRº RUI EVANGELISTA DA EXALTAÇÃO</v>
      </c>
      <c r="C19" s="443"/>
      <c r="D19" s="221">
        <f>IMPRIMAÇÃO!H17</f>
        <v>1649.8560000000002</v>
      </c>
      <c r="E19" s="235">
        <v>1.1999999999999999E-3</v>
      </c>
      <c r="F19" s="221" t="s">
        <v>304</v>
      </c>
      <c r="G19" s="236">
        <f t="shared" si="0"/>
        <v>1.9798272000000001</v>
      </c>
      <c r="H19" s="176">
        <v>141</v>
      </c>
      <c r="I19" s="224">
        <f t="shared" si="1"/>
        <v>279.15563520000001</v>
      </c>
    </row>
    <row r="20" spans="1:228" s="219" customFormat="1" ht="20.100000000000001" customHeight="1" x14ac:dyDescent="0.2">
      <c r="A20" s="164">
        <v>5</v>
      </c>
      <c r="B20" s="442" t="str">
        <f>IMPRIMAÇÃO!B18</f>
        <v>RUA MIRO HENRIQUE VIEIRA FREIRE</v>
      </c>
      <c r="C20" s="443"/>
      <c r="D20" s="221">
        <f>IMPRIMAÇÃO!H18</f>
        <v>2080.6059999999998</v>
      </c>
      <c r="E20" s="235">
        <v>1.1999999999999999E-3</v>
      </c>
      <c r="F20" s="221" t="s">
        <v>304</v>
      </c>
      <c r="G20" s="236">
        <f t="shared" si="0"/>
        <v>2.4967271999999996</v>
      </c>
      <c r="H20" s="176">
        <v>141</v>
      </c>
      <c r="I20" s="224">
        <f t="shared" si="1"/>
        <v>352.03853519999996</v>
      </c>
    </row>
    <row r="21" spans="1:228" s="219" customFormat="1" ht="20.100000000000001" customHeight="1" x14ac:dyDescent="0.2">
      <c r="A21" s="164">
        <v>6</v>
      </c>
      <c r="B21" s="442" t="str">
        <f>IMPRIMAÇÃO!B19</f>
        <v>RUA MARIA MARTA VIEIRA</v>
      </c>
      <c r="C21" s="443"/>
      <c r="D21" s="221">
        <f>IMPRIMAÇÃO!H19</f>
        <v>1357.76</v>
      </c>
      <c r="E21" s="235">
        <v>1.1999999999999999E-3</v>
      </c>
      <c r="F21" s="221" t="s">
        <v>304</v>
      </c>
      <c r="G21" s="236">
        <f t="shared" si="0"/>
        <v>1.6293119999999999</v>
      </c>
      <c r="H21" s="176">
        <v>141</v>
      </c>
      <c r="I21" s="224">
        <f t="shared" si="1"/>
        <v>229.732992</v>
      </c>
    </row>
    <row r="22" spans="1:228" s="219" customFormat="1" ht="20.100000000000001" customHeight="1" x14ac:dyDescent="0.2">
      <c r="A22" s="164">
        <v>7</v>
      </c>
      <c r="B22" s="442" t="str">
        <f>IMPRIMAÇÃO!B20</f>
        <v>AV. DIONITA JUVENAL DA EXALTAÇÃO</v>
      </c>
      <c r="C22" s="443"/>
      <c r="D22" s="221">
        <f>IMPRIMAÇÃO!H20</f>
        <v>452.06799999999998</v>
      </c>
      <c r="E22" s="235">
        <v>1.1999999999999999E-3</v>
      </c>
      <c r="F22" s="221" t="s">
        <v>304</v>
      </c>
      <c r="G22" s="236">
        <f t="shared" si="0"/>
        <v>0.5424815999999999</v>
      </c>
      <c r="H22" s="176">
        <v>141</v>
      </c>
      <c r="I22" s="224">
        <f t="shared" si="1"/>
        <v>76.489905599999986</v>
      </c>
    </row>
    <row r="23" spans="1:228" s="219" customFormat="1" ht="20.100000000000001" customHeight="1" x14ac:dyDescent="0.2">
      <c r="A23" s="164">
        <v>8</v>
      </c>
      <c r="B23" s="442" t="str">
        <f>IMPRIMAÇÃO!B21</f>
        <v>AV. EDUARDO VIEIRA</v>
      </c>
      <c r="C23" s="443"/>
      <c r="D23" s="221">
        <f>IMPRIMAÇÃO!H21</f>
        <v>1098.7560000000001</v>
      </c>
      <c r="E23" s="235">
        <v>1.1999999999999999E-3</v>
      </c>
      <c r="F23" s="221" t="s">
        <v>304</v>
      </c>
      <c r="G23" s="236">
        <f t="shared" si="0"/>
        <v>1.3185072</v>
      </c>
      <c r="H23" s="176">
        <v>141</v>
      </c>
      <c r="I23" s="224">
        <f t="shared" si="1"/>
        <v>185.90951519999999</v>
      </c>
    </row>
    <row r="24" spans="1:228" s="219" customFormat="1" ht="20.100000000000001" customHeight="1" x14ac:dyDescent="0.2">
      <c r="A24" s="164">
        <v>9</v>
      </c>
      <c r="B24" s="442" t="str">
        <f>IMPRIMAÇÃO!B22</f>
        <v>TRAVESSA A</v>
      </c>
      <c r="C24" s="443"/>
      <c r="D24" s="221">
        <f>IMPRIMAÇÃO!H22</f>
        <v>634.49600000000009</v>
      </c>
      <c r="E24" s="235">
        <v>1.1999999999999999E-3</v>
      </c>
      <c r="F24" s="221" t="s">
        <v>304</v>
      </c>
      <c r="G24" s="236">
        <f t="shared" si="0"/>
        <v>0.76139520000000005</v>
      </c>
      <c r="H24" s="176">
        <v>141</v>
      </c>
      <c r="I24" s="224">
        <f t="shared" si="1"/>
        <v>107.3567232</v>
      </c>
    </row>
    <row r="25" spans="1:228" s="219" customFormat="1" ht="20.100000000000001" customHeight="1" x14ac:dyDescent="0.2">
      <c r="A25" s="164">
        <v>10</v>
      </c>
      <c r="B25" s="442" t="str">
        <f>IMPRIMAÇÃO!B23</f>
        <v>RUA CAETÊ</v>
      </c>
      <c r="C25" s="443"/>
      <c r="D25" s="221">
        <f>IMPRIMAÇÃO!H23</f>
        <v>1338.6240000000003</v>
      </c>
      <c r="E25" s="235">
        <v>1.1999999999999999E-3</v>
      </c>
      <c r="F25" s="221" t="s">
        <v>304</v>
      </c>
      <c r="G25" s="236">
        <f t="shared" si="0"/>
        <v>1.6063488000000001</v>
      </c>
      <c r="H25" s="176">
        <v>141</v>
      </c>
      <c r="I25" s="224">
        <f t="shared" si="1"/>
        <v>226.49518080000001</v>
      </c>
    </row>
    <row r="26" spans="1:228" s="219" customFormat="1" ht="20.100000000000001" customHeight="1" x14ac:dyDescent="0.2">
      <c r="A26" s="164">
        <v>11</v>
      </c>
      <c r="B26" s="442" t="str">
        <f>IMPRIMAÇÃO!B24</f>
        <v>RUA MARIA MARTA VIEIRA</v>
      </c>
      <c r="C26" s="443"/>
      <c r="D26" s="221">
        <f>IMPRIMAÇÃO!H24</f>
        <v>2515.7760000000003</v>
      </c>
      <c r="E26" s="235">
        <v>1.1999999999999999E-3</v>
      </c>
      <c r="F26" s="221" t="s">
        <v>304</v>
      </c>
      <c r="G26" s="236">
        <f t="shared" si="0"/>
        <v>3.0189311999999999</v>
      </c>
      <c r="H26" s="176">
        <v>141</v>
      </c>
      <c r="I26" s="224">
        <f t="shared" si="1"/>
        <v>425.66929920000001</v>
      </c>
    </row>
    <row r="27" spans="1:228" s="219" customFormat="1" ht="20.100000000000001" customHeight="1" x14ac:dyDescent="0.2">
      <c r="A27" s="164">
        <v>12</v>
      </c>
      <c r="B27" s="442" t="str">
        <f>IMPRIMAÇÃO!B25</f>
        <v>RUA 02</v>
      </c>
      <c r="C27" s="443"/>
      <c r="D27" s="221">
        <f>IMPRIMAÇÃO!H25</f>
        <v>717.14200000000005</v>
      </c>
      <c r="E27" s="235">
        <v>1.1999999999999999E-3</v>
      </c>
      <c r="F27" s="221" t="s">
        <v>304</v>
      </c>
      <c r="G27" s="236">
        <f t="shared" si="0"/>
        <v>0.86057039999999996</v>
      </c>
      <c r="H27" s="176">
        <v>141</v>
      </c>
      <c r="I27" s="224">
        <f t="shared" si="1"/>
        <v>121.3404264</v>
      </c>
    </row>
    <row r="28" spans="1:228" s="219" customFormat="1" ht="20.100000000000001" customHeight="1" x14ac:dyDescent="0.2">
      <c r="A28" s="164">
        <v>13</v>
      </c>
      <c r="B28" s="442" t="str">
        <f>IMPRIMAÇÃO!B26</f>
        <v>RUA E</v>
      </c>
      <c r="C28" s="443"/>
      <c r="D28" s="221">
        <f>IMPRIMAÇÃO!H26</f>
        <v>1465.296</v>
      </c>
      <c r="E28" s="235">
        <v>1.1999999999999999E-3</v>
      </c>
      <c r="F28" s="221" t="s">
        <v>304</v>
      </c>
      <c r="G28" s="236">
        <f t="shared" si="0"/>
        <v>1.7583552</v>
      </c>
      <c r="H28" s="176">
        <v>141</v>
      </c>
      <c r="I28" s="224">
        <f t="shared" si="1"/>
        <v>247.9280832</v>
      </c>
    </row>
    <row r="29" spans="1:228" s="219" customFormat="1" ht="20.100000000000001" customHeight="1" x14ac:dyDescent="0.2">
      <c r="A29" s="164">
        <v>14</v>
      </c>
      <c r="B29" s="442" t="str">
        <f>IMPRIMAÇÃO!B27</f>
        <v>TV ALTO PARAISO</v>
      </c>
      <c r="C29" s="443"/>
      <c r="D29" s="221">
        <f>IMPRIMAÇÃO!H27</f>
        <v>622.78400000000011</v>
      </c>
      <c r="E29" s="235">
        <v>1.1999999999999999E-3</v>
      </c>
      <c r="F29" s="221" t="s">
        <v>304</v>
      </c>
      <c r="G29" s="236">
        <f t="shared" si="0"/>
        <v>0.74734080000000003</v>
      </c>
      <c r="H29" s="176">
        <v>141</v>
      </c>
      <c r="I29" s="224">
        <f t="shared" si="1"/>
        <v>105.37505280000001</v>
      </c>
    </row>
    <row r="30" spans="1:228" s="226" customFormat="1" ht="20.100000000000001" customHeight="1" x14ac:dyDescent="0.2">
      <c r="A30" s="452" t="s">
        <v>187</v>
      </c>
      <c r="B30" s="453"/>
      <c r="C30" s="453"/>
      <c r="D30" s="156">
        <f>SUM(D16:D29)</f>
        <v>17790.157999999999</v>
      </c>
      <c r="E30" s="225"/>
      <c r="F30" s="156"/>
      <c r="G30" s="156">
        <f>SUM(G16:G29)</f>
        <v>21.348189600000005</v>
      </c>
      <c r="H30" s="156"/>
      <c r="I30" s="156">
        <f>SUM(I16:I29)</f>
        <v>3010.0947335999995</v>
      </c>
      <c r="J30" s="157"/>
      <c r="K30" s="157"/>
      <c r="L30" s="158"/>
      <c r="M30" s="157"/>
      <c r="N30" s="158"/>
      <c r="O30" s="159"/>
      <c r="P30" s="157"/>
      <c r="Q30" s="157"/>
      <c r="R30" s="157"/>
      <c r="S30" s="157"/>
      <c r="T30" s="158"/>
      <c r="U30" s="159"/>
      <c r="V30" s="157"/>
      <c r="W30" s="157"/>
      <c r="X30" s="157"/>
      <c r="Y30" s="157"/>
      <c r="Z30" s="158"/>
      <c r="AA30" s="159"/>
      <c r="AB30" s="157"/>
      <c r="AC30" s="157"/>
      <c r="AD30" s="157"/>
      <c r="AE30" s="157"/>
      <c r="AF30" s="158"/>
      <c r="AG30" s="159"/>
      <c r="AH30" s="157"/>
      <c r="AI30" s="157"/>
      <c r="AJ30" s="157"/>
      <c r="AK30" s="157"/>
      <c r="AL30" s="158"/>
      <c r="AM30" s="159"/>
      <c r="AN30" s="157"/>
      <c r="AO30" s="157"/>
      <c r="AP30" s="157"/>
      <c r="AQ30" s="157"/>
      <c r="AR30" s="158"/>
      <c r="AS30" s="159"/>
      <c r="AT30" s="157"/>
      <c r="AU30" s="157"/>
      <c r="AV30" s="157"/>
      <c r="AW30" s="157"/>
      <c r="AX30" s="158"/>
      <c r="AY30" s="159"/>
      <c r="AZ30" s="157"/>
      <c r="BA30" s="157"/>
      <c r="BB30" s="157"/>
      <c r="BC30" s="157"/>
      <c r="BD30" s="158"/>
      <c r="BE30" s="159"/>
      <c r="BF30" s="157"/>
      <c r="BG30" s="157"/>
      <c r="BH30" s="157"/>
      <c r="BI30" s="157"/>
      <c r="BJ30" s="158"/>
      <c r="BK30" s="159"/>
      <c r="BL30" s="157"/>
      <c r="BM30" s="157"/>
      <c r="BN30" s="157"/>
      <c r="BO30" s="157"/>
      <c r="BP30" s="158"/>
      <c r="BQ30" s="159"/>
      <c r="BR30" s="157"/>
      <c r="BS30" s="157"/>
      <c r="BT30" s="157"/>
      <c r="BU30" s="157"/>
      <c r="BV30" s="158"/>
      <c r="BW30" s="159"/>
      <c r="BX30" s="157"/>
      <c r="BY30" s="157"/>
      <c r="BZ30" s="157"/>
      <c r="CA30" s="157"/>
      <c r="CB30" s="158"/>
      <c r="CC30" s="159"/>
      <c r="CD30" s="157"/>
      <c r="CE30" s="157"/>
      <c r="CF30" s="157"/>
      <c r="CG30" s="157"/>
      <c r="CH30" s="158"/>
      <c r="CI30" s="159"/>
      <c r="CJ30" s="157"/>
      <c r="CK30" s="157"/>
      <c r="CL30" s="157"/>
      <c r="CM30" s="157"/>
      <c r="CN30" s="158"/>
      <c r="CO30" s="159"/>
      <c r="CP30" s="157"/>
      <c r="CQ30" s="157"/>
      <c r="CR30" s="157"/>
      <c r="CS30" s="157"/>
      <c r="CT30" s="158"/>
      <c r="CU30" s="159"/>
      <c r="CV30" s="157"/>
      <c r="CW30" s="157"/>
      <c r="CX30" s="157"/>
      <c r="CY30" s="157"/>
      <c r="CZ30" s="158"/>
      <c r="DA30" s="159"/>
      <c r="DB30" s="157"/>
      <c r="DC30" s="157"/>
      <c r="DD30" s="157"/>
      <c r="DE30" s="157"/>
      <c r="DF30" s="158"/>
      <c r="DG30" s="159"/>
      <c r="DH30" s="157"/>
      <c r="DI30" s="157"/>
      <c r="DJ30" s="157"/>
      <c r="DK30" s="157"/>
      <c r="DL30" s="158"/>
      <c r="DM30" s="159"/>
      <c r="DN30" s="157"/>
      <c r="DO30" s="157"/>
      <c r="DP30" s="157"/>
      <c r="DQ30" s="157"/>
      <c r="DR30" s="158"/>
      <c r="DS30" s="159"/>
      <c r="DT30" s="157"/>
      <c r="DU30" s="157"/>
      <c r="DV30" s="157"/>
      <c r="DW30" s="157"/>
      <c r="DX30" s="158"/>
      <c r="DY30" s="159"/>
      <c r="DZ30" s="157"/>
      <c r="EA30" s="157"/>
      <c r="EB30" s="157"/>
      <c r="EC30" s="157"/>
      <c r="ED30" s="158"/>
      <c r="EE30" s="159"/>
      <c r="EF30" s="157"/>
      <c r="EG30" s="157"/>
      <c r="EH30" s="157"/>
      <c r="EI30" s="157"/>
      <c r="EJ30" s="158"/>
      <c r="EK30" s="159"/>
      <c r="EL30" s="157"/>
      <c r="EM30" s="157"/>
      <c r="EN30" s="157"/>
      <c r="EO30" s="157"/>
      <c r="EP30" s="158"/>
      <c r="EQ30" s="159"/>
      <c r="ER30" s="157"/>
      <c r="ES30" s="157"/>
      <c r="ET30" s="157"/>
      <c r="EU30" s="157"/>
      <c r="EV30" s="158"/>
      <c r="EW30" s="159"/>
      <c r="EX30" s="157"/>
      <c r="EY30" s="157"/>
      <c r="EZ30" s="157"/>
      <c r="FA30" s="157"/>
      <c r="FB30" s="158"/>
      <c r="FC30" s="159"/>
      <c r="FD30" s="157"/>
      <c r="FE30" s="157"/>
      <c r="FF30" s="157"/>
      <c r="FG30" s="157"/>
      <c r="FH30" s="158"/>
      <c r="FI30" s="159"/>
      <c r="FJ30" s="157"/>
      <c r="FK30" s="157"/>
      <c r="FL30" s="157"/>
      <c r="FM30" s="157"/>
      <c r="FN30" s="158"/>
      <c r="FO30" s="159"/>
      <c r="FP30" s="157"/>
      <c r="FQ30" s="157"/>
      <c r="FR30" s="157"/>
      <c r="FS30" s="157"/>
      <c r="FT30" s="158"/>
      <c r="FU30" s="159"/>
      <c r="FV30" s="157"/>
      <c r="FW30" s="157"/>
      <c r="FX30" s="157"/>
      <c r="FY30" s="157"/>
      <c r="FZ30" s="158"/>
      <c r="GA30" s="159"/>
      <c r="GB30" s="157"/>
      <c r="GC30" s="157"/>
      <c r="GD30" s="157"/>
      <c r="GE30" s="157"/>
      <c r="GF30" s="158"/>
      <c r="GG30" s="159"/>
      <c r="GH30" s="157"/>
      <c r="GI30" s="157"/>
      <c r="GJ30" s="157"/>
      <c r="GK30" s="157"/>
      <c r="GL30" s="158"/>
      <c r="GM30" s="159"/>
      <c r="GN30" s="157"/>
      <c r="GO30" s="157"/>
      <c r="GP30" s="157"/>
      <c r="GQ30" s="157"/>
      <c r="GR30" s="158"/>
      <c r="GS30" s="159"/>
      <c r="GT30" s="157"/>
      <c r="GU30" s="157"/>
      <c r="GV30" s="157"/>
      <c r="GW30" s="157"/>
      <c r="GX30" s="158"/>
      <c r="GY30" s="159"/>
      <c r="GZ30" s="157"/>
      <c r="HA30" s="157"/>
      <c r="HB30" s="157"/>
      <c r="HC30" s="157"/>
      <c r="HD30" s="158"/>
      <c r="HE30" s="159"/>
      <c r="HF30" s="157"/>
      <c r="HG30" s="157"/>
      <c r="HH30" s="157"/>
      <c r="HI30" s="157"/>
      <c r="HJ30" s="158"/>
      <c r="HK30" s="159"/>
      <c r="HL30" s="157"/>
      <c r="HM30" s="157"/>
      <c r="HN30" s="157"/>
      <c r="HO30" s="157"/>
      <c r="HP30" s="158"/>
      <c r="HQ30" s="159"/>
      <c r="HR30" s="157"/>
      <c r="HS30" s="157"/>
      <c r="HT30" s="157"/>
    </row>
    <row r="31" spans="1:228" ht="27" customHeight="1" x14ac:dyDescent="0.25">
      <c r="A31" s="463" t="s">
        <v>305</v>
      </c>
      <c r="B31" s="463"/>
      <c r="C31" s="463"/>
      <c r="D31" s="463"/>
      <c r="E31" s="463"/>
      <c r="F31" s="463"/>
      <c r="G31" s="463"/>
      <c r="H31" s="463"/>
      <c r="I31" s="463"/>
    </row>
    <row r="32" spans="1:228" s="219" customFormat="1" ht="12.75" x14ac:dyDescent="0.2">
      <c r="A32" s="460" t="s">
        <v>306</v>
      </c>
      <c r="B32" s="461"/>
      <c r="C32" s="461"/>
      <c r="D32" s="461"/>
      <c r="E32" s="461"/>
      <c r="F32" s="461"/>
      <c r="G32" s="461"/>
      <c r="H32" s="461"/>
      <c r="I32" s="462"/>
    </row>
    <row r="33" spans="1:9" s="219" customFormat="1" ht="12.75" customHeight="1" x14ac:dyDescent="0.2">
      <c r="A33" s="445" t="s">
        <v>90</v>
      </c>
      <c r="B33" s="446" t="s">
        <v>177</v>
      </c>
      <c r="C33" s="447"/>
      <c r="D33" s="451" t="s">
        <v>286</v>
      </c>
      <c r="E33" s="460" t="s">
        <v>301</v>
      </c>
      <c r="F33" s="462"/>
      <c r="G33" s="450" t="s">
        <v>302</v>
      </c>
      <c r="H33" s="451" t="s">
        <v>289</v>
      </c>
      <c r="I33" s="451" t="s">
        <v>290</v>
      </c>
    </row>
    <row r="34" spans="1:9" s="219" customFormat="1" ht="12.75" x14ac:dyDescent="0.2">
      <c r="A34" s="445"/>
      <c r="B34" s="446"/>
      <c r="C34" s="447"/>
      <c r="D34" s="451"/>
      <c r="E34" s="220" t="s">
        <v>291</v>
      </c>
      <c r="F34" s="220" t="s">
        <v>136</v>
      </c>
      <c r="G34" s="451"/>
      <c r="H34" s="451"/>
      <c r="I34" s="451"/>
    </row>
    <row r="35" spans="1:9" s="219" customFormat="1" ht="22.5" customHeight="1" x14ac:dyDescent="0.2">
      <c r="A35" s="417"/>
      <c r="B35" s="420"/>
      <c r="C35" s="421"/>
      <c r="D35" s="152" t="s">
        <v>185</v>
      </c>
      <c r="E35" s="152" t="s">
        <v>280</v>
      </c>
      <c r="F35" s="152"/>
      <c r="G35" s="152" t="s">
        <v>303</v>
      </c>
      <c r="H35" s="152" t="s">
        <v>293</v>
      </c>
      <c r="I35" s="152" t="s">
        <v>375</v>
      </c>
    </row>
    <row r="36" spans="1:9" s="219" customFormat="1" ht="20.100000000000001" customHeight="1" x14ac:dyDescent="0.2">
      <c r="A36" s="164">
        <v>1</v>
      </c>
      <c r="B36" s="442" t="str">
        <f>B16</f>
        <v>ALAMEDA DAS GARRINCHAS</v>
      </c>
      <c r="C36" s="443"/>
      <c r="D36" s="221">
        <f>D16</f>
        <v>1440.248</v>
      </c>
      <c r="E36" s="235">
        <v>3.5000000000000001E-3</v>
      </c>
      <c r="F36" s="221" t="s">
        <v>304</v>
      </c>
      <c r="G36" s="236">
        <f>E36*D36</f>
        <v>5.0408680000000006</v>
      </c>
      <c r="H36" s="176">
        <v>141</v>
      </c>
      <c r="I36" s="224">
        <f>H36*G36</f>
        <v>710.7623880000001</v>
      </c>
    </row>
    <row r="37" spans="1:9" s="219" customFormat="1" ht="20.100000000000001" customHeight="1" x14ac:dyDescent="0.2">
      <c r="A37" s="164">
        <v>2</v>
      </c>
      <c r="B37" s="442" t="str">
        <f t="shared" ref="B37:B49" si="2">B17</f>
        <v>RUA MARIA DE LOURDES VIEIRA</v>
      </c>
      <c r="C37" s="443"/>
      <c r="D37" s="221">
        <f t="shared" ref="D37:D49" si="3">D17</f>
        <v>1422.1560000000002</v>
      </c>
      <c r="E37" s="235">
        <v>3.5000000000000001E-3</v>
      </c>
      <c r="F37" s="221" t="s">
        <v>304</v>
      </c>
      <c r="G37" s="236">
        <f t="shared" ref="G37:G49" si="4">E37*D37</f>
        <v>4.9775460000000011</v>
      </c>
      <c r="H37" s="176">
        <v>141</v>
      </c>
      <c r="I37" s="224">
        <f t="shared" ref="I37:I49" si="5">H37*G37</f>
        <v>701.83398600000021</v>
      </c>
    </row>
    <row r="38" spans="1:9" s="219" customFormat="1" ht="20.100000000000001" customHeight="1" x14ac:dyDescent="0.2">
      <c r="A38" s="164">
        <v>3</v>
      </c>
      <c r="B38" s="442" t="str">
        <f t="shared" si="2"/>
        <v>AV. JUVENTINO CIPRIANO DA EXALTAÇÃO</v>
      </c>
      <c r="C38" s="443"/>
      <c r="D38" s="221">
        <f t="shared" si="3"/>
        <v>994.59</v>
      </c>
      <c r="E38" s="235">
        <v>3.5000000000000001E-3</v>
      </c>
      <c r="F38" s="221" t="s">
        <v>304</v>
      </c>
      <c r="G38" s="236">
        <f t="shared" si="4"/>
        <v>3.4810650000000001</v>
      </c>
      <c r="H38" s="176">
        <v>141</v>
      </c>
      <c r="I38" s="224">
        <f t="shared" si="5"/>
        <v>490.83016500000002</v>
      </c>
    </row>
    <row r="39" spans="1:9" s="219" customFormat="1" ht="20.100000000000001" customHeight="1" x14ac:dyDescent="0.2">
      <c r="A39" s="164">
        <v>4</v>
      </c>
      <c r="B39" s="442" t="str">
        <f t="shared" si="2"/>
        <v>AV. DRº RUI EVANGELISTA DA EXALTAÇÃO</v>
      </c>
      <c r="C39" s="443"/>
      <c r="D39" s="221">
        <f t="shared" si="3"/>
        <v>1649.8560000000002</v>
      </c>
      <c r="E39" s="235">
        <v>3.5000000000000001E-3</v>
      </c>
      <c r="F39" s="221" t="s">
        <v>304</v>
      </c>
      <c r="G39" s="236">
        <f t="shared" si="4"/>
        <v>5.774496000000001</v>
      </c>
      <c r="H39" s="176">
        <v>141</v>
      </c>
      <c r="I39" s="224">
        <f t="shared" si="5"/>
        <v>814.20393600000011</v>
      </c>
    </row>
    <row r="40" spans="1:9" s="219" customFormat="1" ht="20.100000000000001" customHeight="1" x14ac:dyDescent="0.2">
      <c r="A40" s="164">
        <v>5</v>
      </c>
      <c r="B40" s="442" t="str">
        <f t="shared" si="2"/>
        <v>RUA MIRO HENRIQUE VIEIRA FREIRE</v>
      </c>
      <c r="C40" s="443"/>
      <c r="D40" s="221">
        <f t="shared" si="3"/>
        <v>2080.6059999999998</v>
      </c>
      <c r="E40" s="235">
        <v>3.5000000000000001E-3</v>
      </c>
      <c r="F40" s="221" t="s">
        <v>304</v>
      </c>
      <c r="G40" s="236">
        <f t="shared" si="4"/>
        <v>7.2821209999999992</v>
      </c>
      <c r="H40" s="176">
        <v>141</v>
      </c>
      <c r="I40" s="224">
        <f t="shared" si="5"/>
        <v>1026.779061</v>
      </c>
    </row>
    <row r="41" spans="1:9" s="219" customFormat="1" ht="20.100000000000001" customHeight="1" x14ac:dyDescent="0.2">
      <c r="A41" s="164">
        <v>6</v>
      </c>
      <c r="B41" s="442" t="str">
        <f t="shared" si="2"/>
        <v>RUA MARIA MARTA VIEIRA</v>
      </c>
      <c r="C41" s="443"/>
      <c r="D41" s="221">
        <f t="shared" si="3"/>
        <v>1357.76</v>
      </c>
      <c r="E41" s="235">
        <v>3.5000000000000001E-3</v>
      </c>
      <c r="F41" s="221" t="s">
        <v>304</v>
      </c>
      <c r="G41" s="236">
        <f t="shared" si="4"/>
        <v>4.7521599999999999</v>
      </c>
      <c r="H41" s="176">
        <v>141</v>
      </c>
      <c r="I41" s="224">
        <f t="shared" si="5"/>
        <v>670.05456000000004</v>
      </c>
    </row>
    <row r="42" spans="1:9" s="219" customFormat="1" ht="20.100000000000001" customHeight="1" x14ac:dyDescent="0.2">
      <c r="A42" s="164">
        <v>7</v>
      </c>
      <c r="B42" s="442" t="str">
        <f t="shared" si="2"/>
        <v>AV. DIONITA JUVENAL DA EXALTAÇÃO</v>
      </c>
      <c r="C42" s="443"/>
      <c r="D42" s="221">
        <f t="shared" si="3"/>
        <v>452.06799999999998</v>
      </c>
      <c r="E42" s="235">
        <v>3.5000000000000001E-3</v>
      </c>
      <c r="F42" s="221" t="s">
        <v>304</v>
      </c>
      <c r="G42" s="236">
        <f t="shared" si="4"/>
        <v>1.582238</v>
      </c>
      <c r="H42" s="176">
        <v>141</v>
      </c>
      <c r="I42" s="224">
        <f t="shared" si="5"/>
        <v>223.09555800000001</v>
      </c>
    </row>
    <row r="43" spans="1:9" s="219" customFormat="1" ht="20.100000000000001" customHeight="1" x14ac:dyDescent="0.2">
      <c r="A43" s="164">
        <v>8</v>
      </c>
      <c r="B43" s="442" t="str">
        <f t="shared" si="2"/>
        <v>AV. EDUARDO VIEIRA</v>
      </c>
      <c r="C43" s="443"/>
      <c r="D43" s="221">
        <f t="shared" si="3"/>
        <v>1098.7560000000001</v>
      </c>
      <c r="E43" s="235">
        <v>3.5000000000000001E-3</v>
      </c>
      <c r="F43" s="221" t="s">
        <v>304</v>
      </c>
      <c r="G43" s="236">
        <f t="shared" si="4"/>
        <v>3.8456460000000003</v>
      </c>
      <c r="H43" s="176">
        <v>141</v>
      </c>
      <c r="I43" s="224">
        <f t="shared" si="5"/>
        <v>542.236086</v>
      </c>
    </row>
    <row r="44" spans="1:9" s="219" customFormat="1" ht="20.100000000000001" customHeight="1" x14ac:dyDescent="0.2">
      <c r="A44" s="164">
        <v>9</v>
      </c>
      <c r="B44" s="442" t="str">
        <f t="shared" si="2"/>
        <v>TRAVESSA A</v>
      </c>
      <c r="C44" s="443"/>
      <c r="D44" s="221">
        <f t="shared" si="3"/>
        <v>634.49600000000009</v>
      </c>
      <c r="E44" s="235">
        <v>3.5000000000000001E-3</v>
      </c>
      <c r="F44" s="221" t="s">
        <v>304</v>
      </c>
      <c r="G44" s="236">
        <f t="shared" si="4"/>
        <v>2.2207360000000005</v>
      </c>
      <c r="H44" s="176">
        <v>141</v>
      </c>
      <c r="I44" s="224">
        <f t="shared" si="5"/>
        <v>313.12377600000008</v>
      </c>
    </row>
    <row r="45" spans="1:9" s="219" customFormat="1" ht="20.100000000000001" customHeight="1" x14ac:dyDescent="0.2">
      <c r="A45" s="164">
        <v>10</v>
      </c>
      <c r="B45" s="442" t="str">
        <f t="shared" si="2"/>
        <v>RUA CAETÊ</v>
      </c>
      <c r="C45" s="443"/>
      <c r="D45" s="221">
        <f t="shared" si="3"/>
        <v>1338.6240000000003</v>
      </c>
      <c r="E45" s="235">
        <v>3.5000000000000001E-3</v>
      </c>
      <c r="F45" s="221" t="s">
        <v>304</v>
      </c>
      <c r="G45" s="236">
        <f t="shared" si="4"/>
        <v>4.6851840000000013</v>
      </c>
      <c r="H45" s="176">
        <v>141</v>
      </c>
      <c r="I45" s="224">
        <f t="shared" si="5"/>
        <v>660.61094400000025</v>
      </c>
    </row>
    <row r="46" spans="1:9" s="219" customFormat="1" ht="20.100000000000001" customHeight="1" x14ac:dyDescent="0.2">
      <c r="A46" s="164">
        <v>11</v>
      </c>
      <c r="B46" s="442" t="str">
        <f t="shared" si="2"/>
        <v>RUA MARIA MARTA VIEIRA</v>
      </c>
      <c r="C46" s="443"/>
      <c r="D46" s="221">
        <f t="shared" si="3"/>
        <v>2515.7760000000003</v>
      </c>
      <c r="E46" s="235">
        <v>3.5000000000000001E-3</v>
      </c>
      <c r="F46" s="221" t="s">
        <v>304</v>
      </c>
      <c r="G46" s="236">
        <f t="shared" si="4"/>
        <v>8.8052160000000015</v>
      </c>
      <c r="H46" s="176">
        <v>141</v>
      </c>
      <c r="I46" s="224">
        <f t="shared" si="5"/>
        <v>1241.5354560000003</v>
      </c>
    </row>
    <row r="47" spans="1:9" s="219" customFormat="1" ht="20.100000000000001" customHeight="1" x14ac:dyDescent="0.2">
      <c r="A47" s="164">
        <v>12</v>
      </c>
      <c r="B47" s="442" t="str">
        <f t="shared" si="2"/>
        <v>RUA 02</v>
      </c>
      <c r="C47" s="443"/>
      <c r="D47" s="221">
        <f t="shared" si="3"/>
        <v>717.14200000000005</v>
      </c>
      <c r="E47" s="235">
        <v>3.5000000000000001E-3</v>
      </c>
      <c r="F47" s="221" t="s">
        <v>304</v>
      </c>
      <c r="G47" s="236">
        <f t="shared" si="4"/>
        <v>2.5099970000000003</v>
      </c>
      <c r="H47" s="176">
        <v>141</v>
      </c>
      <c r="I47" s="224">
        <f t="shared" si="5"/>
        <v>353.90957700000001</v>
      </c>
    </row>
    <row r="48" spans="1:9" s="219" customFormat="1" ht="20.100000000000001" customHeight="1" x14ac:dyDescent="0.2">
      <c r="A48" s="164">
        <v>13</v>
      </c>
      <c r="B48" s="442" t="str">
        <f t="shared" si="2"/>
        <v>RUA E</v>
      </c>
      <c r="C48" s="443"/>
      <c r="D48" s="221">
        <f t="shared" si="3"/>
        <v>1465.296</v>
      </c>
      <c r="E48" s="235">
        <v>3.5000000000000001E-3</v>
      </c>
      <c r="F48" s="221" t="s">
        <v>304</v>
      </c>
      <c r="G48" s="236">
        <f t="shared" si="4"/>
        <v>5.1285360000000004</v>
      </c>
      <c r="H48" s="176">
        <v>141</v>
      </c>
      <c r="I48" s="224">
        <f t="shared" si="5"/>
        <v>723.12357600000007</v>
      </c>
    </row>
    <row r="49" spans="1:228" s="219" customFormat="1" ht="20.100000000000001" customHeight="1" x14ac:dyDescent="0.2">
      <c r="A49" s="164">
        <v>14</v>
      </c>
      <c r="B49" s="442" t="str">
        <f t="shared" si="2"/>
        <v>TV ALTO PARAISO</v>
      </c>
      <c r="C49" s="443"/>
      <c r="D49" s="221">
        <f t="shared" si="3"/>
        <v>622.78400000000011</v>
      </c>
      <c r="E49" s="235">
        <v>3.5000000000000001E-3</v>
      </c>
      <c r="F49" s="221" t="s">
        <v>304</v>
      </c>
      <c r="G49" s="236">
        <f t="shared" si="4"/>
        <v>2.1797440000000003</v>
      </c>
      <c r="H49" s="176">
        <v>141</v>
      </c>
      <c r="I49" s="224">
        <f t="shared" si="5"/>
        <v>307.34390400000007</v>
      </c>
    </row>
    <row r="50" spans="1:228" s="226" customFormat="1" ht="20.100000000000001" customHeight="1" x14ac:dyDescent="0.2">
      <c r="A50" s="452" t="s">
        <v>187</v>
      </c>
      <c r="B50" s="453"/>
      <c r="C50" s="453"/>
      <c r="D50" s="156">
        <f>SUM(D36:D49)</f>
        <v>17790.157999999999</v>
      </c>
      <c r="E50" s="225"/>
      <c r="F50" s="156"/>
      <c r="G50" s="156">
        <f>SUM(G36:G49)</f>
        <v>62.265552999999997</v>
      </c>
      <c r="H50" s="156"/>
      <c r="I50" s="156">
        <f>SUM(I36:I49)</f>
        <v>8779.4429730000011</v>
      </c>
      <c r="J50" s="157"/>
      <c r="K50" s="157"/>
      <c r="L50" s="158"/>
      <c r="M50" s="157"/>
      <c r="N50" s="158"/>
      <c r="O50" s="159"/>
      <c r="P50" s="157"/>
      <c r="Q50" s="157"/>
      <c r="R50" s="157"/>
      <c r="S50" s="157"/>
      <c r="T50" s="158"/>
      <c r="U50" s="159"/>
      <c r="V50" s="157"/>
      <c r="W50" s="157"/>
      <c r="X50" s="157"/>
      <c r="Y50" s="157"/>
      <c r="Z50" s="158"/>
      <c r="AA50" s="159"/>
      <c r="AB50" s="157"/>
      <c r="AC50" s="157"/>
      <c r="AD50" s="157"/>
      <c r="AE50" s="157"/>
      <c r="AF50" s="158"/>
      <c r="AG50" s="159"/>
      <c r="AH50" s="157"/>
      <c r="AI50" s="157"/>
      <c r="AJ50" s="157"/>
      <c r="AK50" s="157"/>
      <c r="AL50" s="158"/>
      <c r="AM50" s="159"/>
      <c r="AN50" s="157"/>
      <c r="AO50" s="157"/>
      <c r="AP50" s="157"/>
      <c r="AQ50" s="157"/>
      <c r="AR50" s="158"/>
      <c r="AS50" s="159"/>
      <c r="AT50" s="157"/>
      <c r="AU50" s="157"/>
      <c r="AV50" s="157"/>
      <c r="AW50" s="157"/>
      <c r="AX50" s="158"/>
      <c r="AY50" s="159"/>
      <c r="AZ50" s="157"/>
      <c r="BA50" s="157"/>
      <c r="BB50" s="157"/>
      <c r="BC50" s="157"/>
      <c r="BD50" s="158"/>
      <c r="BE50" s="159"/>
      <c r="BF50" s="157"/>
      <c r="BG50" s="157"/>
      <c r="BH50" s="157"/>
      <c r="BI50" s="157"/>
      <c r="BJ50" s="158"/>
      <c r="BK50" s="159"/>
      <c r="BL50" s="157"/>
      <c r="BM50" s="157"/>
      <c r="BN50" s="157"/>
      <c r="BO50" s="157"/>
      <c r="BP50" s="158"/>
      <c r="BQ50" s="159"/>
      <c r="BR50" s="157"/>
      <c r="BS50" s="157"/>
      <c r="BT50" s="157"/>
      <c r="BU50" s="157"/>
      <c r="BV50" s="158"/>
      <c r="BW50" s="159"/>
      <c r="BX50" s="157"/>
      <c r="BY50" s="157"/>
      <c r="BZ50" s="157"/>
      <c r="CA50" s="157"/>
      <c r="CB50" s="158"/>
      <c r="CC50" s="159"/>
      <c r="CD50" s="157"/>
      <c r="CE50" s="157"/>
      <c r="CF50" s="157"/>
      <c r="CG50" s="157"/>
      <c r="CH50" s="158"/>
      <c r="CI50" s="159"/>
      <c r="CJ50" s="157"/>
      <c r="CK50" s="157"/>
      <c r="CL50" s="157"/>
      <c r="CM50" s="157"/>
      <c r="CN50" s="158"/>
      <c r="CO50" s="159"/>
      <c r="CP50" s="157"/>
      <c r="CQ50" s="157"/>
      <c r="CR50" s="157"/>
      <c r="CS50" s="157"/>
      <c r="CT50" s="158"/>
      <c r="CU50" s="159"/>
      <c r="CV50" s="157"/>
      <c r="CW50" s="157"/>
      <c r="CX50" s="157"/>
      <c r="CY50" s="157"/>
      <c r="CZ50" s="158"/>
      <c r="DA50" s="159"/>
      <c r="DB50" s="157"/>
      <c r="DC50" s="157"/>
      <c r="DD50" s="157"/>
      <c r="DE50" s="157"/>
      <c r="DF50" s="158"/>
      <c r="DG50" s="159"/>
      <c r="DH50" s="157"/>
      <c r="DI50" s="157"/>
      <c r="DJ50" s="157"/>
      <c r="DK50" s="157"/>
      <c r="DL50" s="158"/>
      <c r="DM50" s="159"/>
      <c r="DN50" s="157"/>
      <c r="DO50" s="157"/>
      <c r="DP50" s="157"/>
      <c r="DQ50" s="157"/>
      <c r="DR50" s="158"/>
      <c r="DS50" s="159"/>
      <c r="DT50" s="157"/>
      <c r="DU50" s="157"/>
      <c r="DV50" s="157"/>
      <c r="DW50" s="157"/>
      <c r="DX50" s="158"/>
      <c r="DY50" s="159"/>
      <c r="DZ50" s="157"/>
      <c r="EA50" s="157"/>
      <c r="EB50" s="157"/>
      <c r="EC50" s="157"/>
      <c r="ED50" s="158"/>
      <c r="EE50" s="159"/>
      <c r="EF50" s="157"/>
      <c r="EG50" s="157"/>
      <c r="EH50" s="157"/>
      <c r="EI50" s="157"/>
      <c r="EJ50" s="158"/>
      <c r="EK50" s="159"/>
      <c r="EL50" s="157"/>
      <c r="EM50" s="157"/>
      <c r="EN50" s="157"/>
      <c r="EO50" s="157"/>
      <c r="EP50" s="158"/>
      <c r="EQ50" s="159"/>
      <c r="ER50" s="157"/>
      <c r="ES50" s="157"/>
      <c r="ET50" s="157"/>
      <c r="EU50" s="157"/>
      <c r="EV50" s="158"/>
      <c r="EW50" s="159"/>
      <c r="EX50" s="157"/>
      <c r="EY50" s="157"/>
      <c r="EZ50" s="157"/>
      <c r="FA50" s="157"/>
      <c r="FB50" s="158"/>
      <c r="FC50" s="159"/>
      <c r="FD50" s="157"/>
      <c r="FE50" s="157"/>
      <c r="FF50" s="157"/>
      <c r="FG50" s="157"/>
      <c r="FH50" s="158"/>
      <c r="FI50" s="159"/>
      <c r="FJ50" s="157"/>
      <c r="FK50" s="157"/>
      <c r="FL50" s="157"/>
      <c r="FM50" s="157"/>
      <c r="FN50" s="158"/>
      <c r="FO50" s="159"/>
      <c r="FP50" s="157"/>
      <c r="FQ50" s="157"/>
      <c r="FR50" s="157"/>
      <c r="FS50" s="157"/>
      <c r="FT50" s="158"/>
      <c r="FU50" s="159"/>
      <c r="FV50" s="157"/>
      <c r="FW50" s="157"/>
      <c r="FX50" s="157"/>
      <c r="FY50" s="157"/>
      <c r="FZ50" s="158"/>
      <c r="GA50" s="159"/>
      <c r="GB50" s="157"/>
      <c r="GC50" s="157"/>
      <c r="GD50" s="157"/>
      <c r="GE50" s="157"/>
      <c r="GF50" s="158"/>
      <c r="GG50" s="159"/>
      <c r="GH50" s="157"/>
      <c r="GI50" s="157"/>
      <c r="GJ50" s="157"/>
      <c r="GK50" s="157"/>
      <c r="GL50" s="158"/>
      <c r="GM50" s="159"/>
      <c r="GN50" s="157"/>
      <c r="GO50" s="157"/>
      <c r="GP50" s="157"/>
      <c r="GQ50" s="157"/>
      <c r="GR50" s="158"/>
      <c r="GS50" s="159"/>
      <c r="GT50" s="157"/>
      <c r="GU50" s="157"/>
      <c r="GV50" s="157"/>
      <c r="GW50" s="157"/>
      <c r="GX50" s="158"/>
      <c r="GY50" s="159"/>
      <c r="GZ50" s="157"/>
      <c r="HA50" s="157"/>
      <c r="HB50" s="157"/>
      <c r="HC50" s="157"/>
      <c r="HD50" s="158"/>
      <c r="HE50" s="159"/>
      <c r="HF50" s="157"/>
      <c r="HG50" s="157"/>
      <c r="HH50" s="157"/>
      <c r="HI50" s="157"/>
      <c r="HJ50" s="158"/>
      <c r="HK50" s="159"/>
      <c r="HL50" s="157"/>
      <c r="HM50" s="157"/>
      <c r="HN50" s="157"/>
      <c r="HO50" s="157"/>
      <c r="HP50" s="158"/>
      <c r="HQ50" s="159"/>
      <c r="HR50" s="157"/>
      <c r="HS50" s="157"/>
      <c r="HT50" s="157"/>
    </row>
    <row r="51" spans="1:228" ht="27" customHeight="1" x14ac:dyDescent="0.25">
      <c r="A51" s="463" t="s">
        <v>305</v>
      </c>
      <c r="B51" s="463"/>
      <c r="C51" s="463"/>
      <c r="D51" s="463"/>
      <c r="E51" s="463"/>
      <c r="F51" s="463"/>
      <c r="G51" s="463"/>
      <c r="H51" s="463"/>
      <c r="I51" s="463"/>
    </row>
    <row r="52" spans="1:228" x14ac:dyDescent="0.25">
      <c r="E52" s="228"/>
    </row>
  </sheetData>
  <mergeCells count="55">
    <mergeCell ref="B41:C41"/>
    <mergeCell ref="B48:C48"/>
    <mergeCell ref="B49:C49"/>
    <mergeCell ref="A50:C50"/>
    <mergeCell ref="A51:I51"/>
    <mergeCell ref="B42:C42"/>
    <mergeCell ref="B43:C43"/>
    <mergeCell ref="B44:C44"/>
    <mergeCell ref="B45:C45"/>
    <mergeCell ref="B46:C46"/>
    <mergeCell ref="B47:C47"/>
    <mergeCell ref="N1:O1"/>
    <mergeCell ref="A2:J2"/>
    <mergeCell ref="A3:J3"/>
    <mergeCell ref="A4:J4"/>
    <mergeCell ref="A5:J5"/>
    <mergeCell ref="I33:I34"/>
    <mergeCell ref="B36:C36"/>
    <mergeCell ref="B37:C37"/>
    <mergeCell ref="B38:C38"/>
    <mergeCell ref="B39:C39"/>
    <mergeCell ref="G33:G34"/>
    <mergeCell ref="H33:H34"/>
    <mergeCell ref="B40:C40"/>
    <mergeCell ref="A33:A35"/>
    <mergeCell ref="B33:C35"/>
    <mergeCell ref="D33:D34"/>
    <mergeCell ref="E33:F33"/>
    <mergeCell ref="A30:C30"/>
    <mergeCell ref="A31:I31"/>
    <mergeCell ref="B27:C27"/>
    <mergeCell ref="B28:C28"/>
    <mergeCell ref="B29:C29"/>
    <mergeCell ref="A32:I32"/>
    <mergeCell ref="I13:I14"/>
    <mergeCell ref="B16:C16"/>
    <mergeCell ref="B17:C17"/>
    <mergeCell ref="B18:C18"/>
    <mergeCell ref="B19:C19"/>
    <mergeCell ref="B20:C20"/>
    <mergeCell ref="A13:A15"/>
    <mergeCell ref="B13:C15"/>
    <mergeCell ref="D13:D14"/>
    <mergeCell ref="E13:F13"/>
    <mergeCell ref="G13:G14"/>
    <mergeCell ref="H13:H14"/>
    <mergeCell ref="B24:C24"/>
    <mergeCell ref="B25:C25"/>
    <mergeCell ref="B26:C26"/>
    <mergeCell ref="A10:I10"/>
    <mergeCell ref="A11:I11"/>
    <mergeCell ref="A12:I12"/>
    <mergeCell ref="B22:C22"/>
    <mergeCell ref="B23:C23"/>
    <mergeCell ref="B21:C21"/>
  </mergeCells>
  <printOptions horizontalCentered="1"/>
  <pageMargins left="0.15748031496062992" right="0.19685039370078741" top="0.78740157480314965" bottom="0.78740157480314965" header="0.15748031496062992" footer="0.31496062992125984"/>
  <pageSetup paperSize="9" scale="51" firstPageNumber="25" orientation="landscape" useFirstPageNumber="1" r:id="rId1"/>
  <headerFooter scaleWithDoc="0">
    <oddFooter>&amp;C&amp;"-,Negrito itálico"Kaik Eduardo Silva Vilar
Engenheiro Civil
CREA: 241510947-9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BD8E7-2F11-454A-93F1-152E79EB9E28}">
  <dimension ref="A1:Q83"/>
  <sheetViews>
    <sheetView view="pageBreakPreview" topLeftCell="A66" zoomScaleNormal="100" zoomScaleSheetLayoutView="100" workbookViewId="0">
      <selection activeCell="B12" sqref="B12:G12"/>
    </sheetView>
  </sheetViews>
  <sheetFormatPr defaultRowHeight="15" x14ac:dyDescent="0.25"/>
  <cols>
    <col min="1" max="1" width="16.5" style="227" customWidth="1"/>
    <col min="2" max="7" width="16.125" style="227" customWidth="1"/>
    <col min="8" max="8" width="5.5" style="254" customWidth="1"/>
    <col min="9" max="9" width="10.875" style="227" bestFit="1" customWidth="1"/>
    <col min="10" max="16384" width="9" style="227"/>
  </cols>
  <sheetData>
    <row r="1" spans="1:17" s="11" customFormat="1" ht="7.5" customHeight="1" x14ac:dyDescent="0.25">
      <c r="B1" s="8"/>
      <c r="C1" s="9"/>
      <c r="D1" s="9"/>
      <c r="E1" s="10"/>
      <c r="F1" s="9"/>
      <c r="G1" s="10"/>
      <c r="H1" s="9"/>
      <c r="I1" s="10"/>
      <c r="J1" s="9"/>
      <c r="K1" s="10"/>
      <c r="L1" s="10"/>
      <c r="M1" s="9"/>
      <c r="N1" s="454"/>
      <c r="O1" s="455"/>
      <c r="P1" s="12"/>
    </row>
    <row r="2" spans="1:17" customFormat="1" ht="18.75" x14ac:dyDescent="0.2">
      <c r="A2" s="456" t="s">
        <v>170</v>
      </c>
      <c r="B2" s="457"/>
      <c r="C2" s="457"/>
      <c r="D2" s="457"/>
      <c r="E2" s="457"/>
      <c r="F2" s="457"/>
      <c r="G2" s="457"/>
      <c r="H2" s="457"/>
      <c r="I2" s="457"/>
      <c r="J2" s="457"/>
      <c r="K2" s="255"/>
      <c r="L2" s="255"/>
      <c r="M2" s="255"/>
      <c r="N2" s="255"/>
      <c r="O2" s="255"/>
      <c r="P2" s="255"/>
      <c r="Q2" s="255"/>
    </row>
    <row r="3" spans="1:17" customFormat="1" ht="15.75" x14ac:dyDescent="0.2">
      <c r="A3" s="325" t="s">
        <v>171</v>
      </c>
      <c r="B3" s="326"/>
      <c r="C3" s="326"/>
      <c r="D3" s="326"/>
      <c r="E3" s="326"/>
      <c r="F3" s="326"/>
      <c r="G3" s="326"/>
      <c r="H3" s="326"/>
      <c r="I3" s="326"/>
      <c r="J3" s="326"/>
      <c r="K3" s="124"/>
      <c r="L3" s="124"/>
      <c r="M3" s="124"/>
      <c r="N3" s="124"/>
      <c r="O3" s="124"/>
      <c r="P3" s="124"/>
      <c r="Q3" s="124"/>
    </row>
    <row r="4" spans="1:17" customFormat="1" ht="14.25" x14ac:dyDescent="0.2">
      <c r="A4" s="328" t="s">
        <v>172</v>
      </c>
      <c r="B4" s="329"/>
      <c r="C4" s="329"/>
      <c r="D4" s="329"/>
      <c r="E4" s="329"/>
      <c r="F4" s="329"/>
      <c r="G4" s="329"/>
      <c r="H4" s="329"/>
      <c r="I4" s="329"/>
      <c r="J4" s="329"/>
      <c r="K4" s="125"/>
      <c r="L4" s="125"/>
      <c r="M4" s="125"/>
      <c r="N4" s="125"/>
      <c r="O4" s="125"/>
      <c r="P4" s="125"/>
      <c r="Q4" s="125"/>
    </row>
    <row r="5" spans="1:17" customFormat="1" ht="14.25" x14ac:dyDescent="0.2">
      <c r="A5" s="328" t="s">
        <v>173</v>
      </c>
      <c r="B5" s="329"/>
      <c r="C5" s="329"/>
      <c r="D5" s="329"/>
      <c r="E5" s="329"/>
      <c r="F5" s="329"/>
      <c r="G5" s="329"/>
      <c r="H5" s="329"/>
      <c r="I5" s="329"/>
      <c r="J5" s="329"/>
      <c r="K5" s="125"/>
      <c r="L5" s="125"/>
      <c r="M5" s="125"/>
      <c r="N5" s="125"/>
      <c r="O5" s="125"/>
      <c r="P5" s="125"/>
      <c r="Q5" s="125"/>
    </row>
    <row r="6" spans="1:17" s="4" customFormat="1" x14ac:dyDescent="0.25">
      <c r="A6" s="24" t="s">
        <v>65</v>
      </c>
      <c r="B6" s="25" t="s">
        <v>66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7" s="4" customFormat="1" x14ac:dyDescent="0.25">
      <c r="A7" s="24" t="s">
        <v>67</v>
      </c>
      <c r="B7" s="25" t="s">
        <v>68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7" s="4" customFormat="1" x14ac:dyDescent="0.25">
      <c r="A8" s="24" t="s">
        <v>69</v>
      </c>
      <c r="B8" s="25" t="s">
        <v>170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7" s="4" customFormat="1" ht="15.75" thickBot="1" x14ac:dyDescent="0.3">
      <c r="A9" s="24" t="s">
        <v>70</v>
      </c>
      <c r="B9" s="26" t="s">
        <v>411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7" ht="16.5" thickBot="1" x14ac:dyDescent="0.3">
      <c r="A10" s="475" t="s">
        <v>307</v>
      </c>
      <c r="B10" s="476"/>
      <c r="C10" s="476"/>
      <c r="D10" s="476"/>
      <c r="E10" s="476"/>
      <c r="F10" s="476"/>
      <c r="G10" s="476"/>
      <c r="H10" s="476"/>
      <c r="I10" s="477"/>
    </row>
    <row r="11" spans="1:17" ht="15.75" x14ac:dyDescent="0.25">
      <c r="A11" s="472" t="str">
        <f>IMPRIMAÇÃO!B14</f>
        <v>ALAMEDA DAS GARRINCHAS</v>
      </c>
      <c r="B11" s="473"/>
      <c r="C11" s="473"/>
      <c r="D11" s="473"/>
      <c r="E11" s="473"/>
      <c r="F11" s="473"/>
      <c r="G11" s="473"/>
      <c r="H11" s="473"/>
      <c r="I11" s="474"/>
    </row>
    <row r="12" spans="1:17" ht="15.75" x14ac:dyDescent="0.25">
      <c r="A12" s="237" t="s">
        <v>308</v>
      </c>
      <c r="B12" s="464" t="s">
        <v>376</v>
      </c>
      <c r="C12" s="464"/>
      <c r="D12" s="464"/>
      <c r="E12" s="464"/>
      <c r="F12" s="464"/>
      <c r="G12" s="465"/>
      <c r="H12" s="238" t="s">
        <v>309</v>
      </c>
      <c r="I12" s="239">
        <f>3.62+98.84+3.61+3.64+108.21+3.5</f>
        <v>221.42000000000002</v>
      </c>
    </row>
    <row r="13" spans="1:17" ht="15.75" x14ac:dyDescent="0.25">
      <c r="A13" s="240" t="s">
        <v>310</v>
      </c>
      <c r="B13" s="464" t="s">
        <v>377</v>
      </c>
      <c r="C13" s="464"/>
      <c r="D13" s="464"/>
      <c r="E13" s="464"/>
      <c r="F13" s="464"/>
      <c r="G13" s="465"/>
      <c r="H13" s="241" t="s">
        <v>309</v>
      </c>
      <c r="I13" s="239">
        <f>3.59+98.84+3.64+3.56+108.21+3.74</f>
        <v>221.58</v>
      </c>
    </row>
    <row r="14" spans="1:17" ht="15.75" x14ac:dyDescent="0.25">
      <c r="A14" s="467"/>
      <c r="B14" s="468"/>
      <c r="C14" s="468"/>
      <c r="D14" s="468"/>
      <c r="E14" s="468"/>
      <c r="F14" s="468"/>
      <c r="G14" s="468"/>
      <c r="H14" s="468"/>
      <c r="I14" s="469"/>
    </row>
    <row r="15" spans="1:17" ht="16.5" thickBot="1" x14ac:dyDescent="0.3">
      <c r="A15" s="242"/>
      <c r="B15" s="470" t="s">
        <v>311</v>
      </c>
      <c r="C15" s="470"/>
      <c r="D15" s="470"/>
      <c r="E15" s="470"/>
      <c r="F15" s="470"/>
      <c r="G15" s="471"/>
      <c r="H15" s="243" t="s">
        <v>309</v>
      </c>
      <c r="I15" s="244">
        <f>SUBTOTAL(9,I12:I13)</f>
        <v>443</v>
      </c>
    </row>
    <row r="16" spans="1:17" ht="15.75" x14ac:dyDescent="0.25">
      <c r="A16" s="472" t="str">
        <f>IMPRIMAÇÃO!B15</f>
        <v>RUA MARIA DE LOURDES VIEIRA</v>
      </c>
      <c r="B16" s="473"/>
      <c r="C16" s="473"/>
      <c r="D16" s="473"/>
      <c r="E16" s="473"/>
      <c r="F16" s="473"/>
      <c r="G16" s="473"/>
      <c r="H16" s="473"/>
      <c r="I16" s="474"/>
    </row>
    <row r="17" spans="1:9" ht="15.75" x14ac:dyDescent="0.25">
      <c r="A17" s="237" t="s">
        <v>308</v>
      </c>
      <c r="B17" s="464" t="s">
        <v>378</v>
      </c>
      <c r="C17" s="464"/>
      <c r="D17" s="464"/>
      <c r="E17" s="464"/>
      <c r="F17" s="464"/>
      <c r="G17" s="465"/>
      <c r="H17" s="238" t="s">
        <v>309</v>
      </c>
      <c r="I17" s="239">
        <f>3.41+98.73+3.6+3.54+105.35+3.58</f>
        <v>218.21</v>
      </c>
    </row>
    <row r="18" spans="1:9" ht="15.75" x14ac:dyDescent="0.25">
      <c r="A18" s="240" t="s">
        <v>310</v>
      </c>
      <c r="B18" s="466" t="s">
        <v>379</v>
      </c>
      <c r="C18" s="466"/>
      <c r="D18" s="466"/>
      <c r="E18" s="466"/>
      <c r="F18" s="466"/>
      <c r="G18" s="466"/>
      <c r="H18" s="241" t="s">
        <v>309</v>
      </c>
      <c r="I18" s="239">
        <f>3.47+98.51+3.78+3.45+105.32+3.61</f>
        <v>218.14000000000001</v>
      </c>
    </row>
    <row r="19" spans="1:9" ht="15.75" x14ac:dyDescent="0.25">
      <c r="A19" s="467"/>
      <c r="B19" s="468"/>
      <c r="C19" s="468"/>
      <c r="D19" s="468"/>
      <c r="E19" s="468"/>
      <c r="F19" s="468"/>
      <c r="G19" s="468"/>
      <c r="H19" s="468"/>
      <c r="I19" s="469"/>
    </row>
    <row r="20" spans="1:9" ht="16.5" thickBot="1" x14ac:dyDescent="0.3">
      <c r="A20" s="242"/>
      <c r="B20" s="470" t="s">
        <v>311</v>
      </c>
      <c r="C20" s="470"/>
      <c r="D20" s="470"/>
      <c r="E20" s="470"/>
      <c r="F20" s="470"/>
      <c r="G20" s="471"/>
      <c r="H20" s="243" t="s">
        <v>309</v>
      </c>
      <c r="I20" s="244">
        <f>SUBTOTAL(9,I17:I18)</f>
        <v>436.35</v>
      </c>
    </row>
    <row r="21" spans="1:9" ht="15.75" x14ac:dyDescent="0.25">
      <c r="A21" s="472" t="str">
        <f>IMPRIMAÇÃO!B16</f>
        <v>AV. JUVENTINO CIPRIANO DA EXALTAÇÃO</v>
      </c>
      <c r="B21" s="473"/>
      <c r="C21" s="473"/>
      <c r="D21" s="473"/>
      <c r="E21" s="473"/>
      <c r="F21" s="473"/>
      <c r="G21" s="473"/>
      <c r="H21" s="473"/>
      <c r="I21" s="474"/>
    </row>
    <row r="22" spans="1:9" ht="15.75" x14ac:dyDescent="0.25">
      <c r="A22" s="237" t="s">
        <v>308</v>
      </c>
      <c r="B22" s="464" t="s">
        <v>380</v>
      </c>
      <c r="C22" s="464"/>
      <c r="D22" s="464"/>
      <c r="E22" s="464"/>
      <c r="F22" s="464"/>
      <c r="G22" s="465"/>
      <c r="H22" s="238" t="s">
        <v>309</v>
      </c>
      <c r="I22" s="239">
        <f>71.08+72.87+3.69</f>
        <v>147.63999999999999</v>
      </c>
    </row>
    <row r="23" spans="1:9" ht="15.75" x14ac:dyDescent="0.25">
      <c r="A23" s="240" t="s">
        <v>310</v>
      </c>
      <c r="B23" s="466" t="s">
        <v>381</v>
      </c>
      <c r="C23" s="466"/>
      <c r="D23" s="466"/>
      <c r="E23" s="466"/>
      <c r="F23" s="466"/>
      <c r="G23" s="466"/>
      <c r="H23" s="241" t="s">
        <v>309</v>
      </c>
      <c r="I23" s="239">
        <f>71.07+72.25+3.56</f>
        <v>146.88</v>
      </c>
    </row>
    <row r="24" spans="1:9" ht="15.75" x14ac:dyDescent="0.25">
      <c r="A24" s="467"/>
      <c r="B24" s="468"/>
      <c r="C24" s="468"/>
      <c r="D24" s="468"/>
      <c r="E24" s="468"/>
      <c r="F24" s="468"/>
      <c r="G24" s="468"/>
      <c r="H24" s="468"/>
      <c r="I24" s="469"/>
    </row>
    <row r="25" spans="1:9" ht="16.5" thickBot="1" x14ac:dyDescent="0.3">
      <c r="A25" s="242"/>
      <c r="B25" s="470" t="s">
        <v>311</v>
      </c>
      <c r="C25" s="470"/>
      <c r="D25" s="470"/>
      <c r="E25" s="470"/>
      <c r="F25" s="470"/>
      <c r="G25" s="471"/>
      <c r="H25" s="243" t="s">
        <v>309</v>
      </c>
      <c r="I25" s="244">
        <f>SUBTOTAL(9,I22:I23)</f>
        <v>294.52</v>
      </c>
    </row>
    <row r="26" spans="1:9" ht="15.75" x14ac:dyDescent="0.25">
      <c r="A26" s="472" t="str">
        <f>IMPRIMAÇÃO!B17</f>
        <v>AV. DRº RUI EVANGELISTA DA EXALTAÇÃO</v>
      </c>
      <c r="B26" s="473"/>
      <c r="C26" s="473"/>
      <c r="D26" s="473"/>
      <c r="E26" s="473"/>
      <c r="F26" s="473"/>
      <c r="G26" s="473"/>
      <c r="H26" s="473"/>
      <c r="I26" s="474"/>
    </row>
    <row r="27" spans="1:9" ht="15.75" x14ac:dyDescent="0.25">
      <c r="A27" s="237" t="s">
        <v>308</v>
      </c>
      <c r="B27" s="464" t="s">
        <v>382</v>
      </c>
      <c r="C27" s="464"/>
      <c r="D27" s="464"/>
      <c r="E27" s="464"/>
      <c r="F27" s="464"/>
      <c r="G27" s="465"/>
      <c r="H27" s="238" t="s">
        <v>309</v>
      </c>
      <c r="I27" s="239">
        <f>63.11+3.53+3.49+74.18+3.87+3.4+75.34+3.62+3.58</f>
        <v>234.12000000000003</v>
      </c>
    </row>
    <row r="28" spans="1:9" ht="15.75" x14ac:dyDescent="0.25">
      <c r="A28" s="240" t="s">
        <v>310</v>
      </c>
      <c r="B28" s="466" t="s">
        <v>383</v>
      </c>
      <c r="C28" s="466"/>
      <c r="D28" s="466"/>
      <c r="E28" s="466"/>
      <c r="F28" s="466"/>
      <c r="G28" s="466"/>
      <c r="H28" s="241" t="s">
        <v>309</v>
      </c>
      <c r="I28" s="239">
        <f>63.19+73.86+3.58+3.61+75.21+3.64+3.61</f>
        <v>226.70000000000005</v>
      </c>
    </row>
    <row r="29" spans="1:9" ht="15.75" x14ac:dyDescent="0.25">
      <c r="A29" s="467"/>
      <c r="B29" s="468"/>
      <c r="C29" s="468"/>
      <c r="D29" s="468"/>
      <c r="E29" s="468"/>
      <c r="F29" s="468"/>
      <c r="G29" s="468"/>
      <c r="H29" s="468"/>
      <c r="I29" s="469"/>
    </row>
    <row r="30" spans="1:9" ht="16.5" thickBot="1" x14ac:dyDescent="0.3">
      <c r="A30" s="242"/>
      <c r="B30" s="470" t="s">
        <v>311</v>
      </c>
      <c r="C30" s="470"/>
      <c r="D30" s="470"/>
      <c r="E30" s="470"/>
      <c r="F30" s="470"/>
      <c r="G30" s="471"/>
      <c r="H30" s="243" t="s">
        <v>309</v>
      </c>
      <c r="I30" s="244">
        <f>SUBTOTAL(9,I27:I28)</f>
        <v>460.82000000000005</v>
      </c>
    </row>
    <row r="31" spans="1:9" ht="15.75" x14ac:dyDescent="0.25">
      <c r="A31" s="472" t="str">
        <f>IMPRIMAÇÃO!B18</f>
        <v>RUA MIRO HENRIQUE VIEIRA FREIRE</v>
      </c>
      <c r="B31" s="473"/>
      <c r="C31" s="473"/>
      <c r="D31" s="473"/>
      <c r="E31" s="473"/>
      <c r="F31" s="473"/>
      <c r="G31" s="473"/>
      <c r="H31" s="473"/>
      <c r="I31" s="474"/>
    </row>
    <row r="32" spans="1:9" ht="15.75" x14ac:dyDescent="0.25">
      <c r="A32" s="237" t="s">
        <v>308</v>
      </c>
      <c r="B32" s="464" t="s">
        <v>384</v>
      </c>
      <c r="C32" s="464"/>
      <c r="D32" s="464"/>
      <c r="E32" s="464"/>
      <c r="F32" s="464"/>
      <c r="G32" s="465"/>
      <c r="H32" s="238" t="s">
        <v>309</v>
      </c>
      <c r="I32" s="239">
        <f>59.68+4.72+4.71+75.7+6.72+6.82+2.59+44.59+108.04+12.69</f>
        <v>326.26</v>
      </c>
    </row>
    <row r="33" spans="1:9" ht="15.75" x14ac:dyDescent="0.25">
      <c r="A33" s="240" t="s">
        <v>310</v>
      </c>
      <c r="B33" s="466" t="s">
        <v>385</v>
      </c>
      <c r="C33" s="466"/>
      <c r="D33" s="466"/>
      <c r="E33" s="466"/>
      <c r="F33" s="466"/>
      <c r="G33" s="466"/>
      <c r="H33" s="241" t="s">
        <v>309</v>
      </c>
      <c r="I33" s="239">
        <f>60.44+76.48+3.37+44.43+36.33+55.94+7.69</f>
        <v>284.68</v>
      </c>
    </row>
    <row r="34" spans="1:9" ht="15.75" x14ac:dyDescent="0.25">
      <c r="A34" s="467"/>
      <c r="B34" s="468"/>
      <c r="C34" s="468"/>
      <c r="D34" s="468"/>
      <c r="E34" s="468"/>
      <c r="F34" s="468"/>
      <c r="G34" s="468"/>
      <c r="H34" s="468"/>
      <c r="I34" s="469"/>
    </row>
    <row r="35" spans="1:9" ht="16.5" thickBot="1" x14ac:dyDescent="0.3">
      <c r="A35" s="242"/>
      <c r="B35" s="470" t="s">
        <v>311</v>
      </c>
      <c r="C35" s="470"/>
      <c r="D35" s="470"/>
      <c r="E35" s="470"/>
      <c r="F35" s="470"/>
      <c r="G35" s="471"/>
      <c r="H35" s="243" t="s">
        <v>309</v>
      </c>
      <c r="I35" s="244">
        <f>SUBTOTAL(9,I32:I33)</f>
        <v>610.94000000000005</v>
      </c>
    </row>
    <row r="36" spans="1:9" ht="15.75" x14ac:dyDescent="0.25">
      <c r="A36" s="472" t="str">
        <f>IMPRIMAÇÃO!B19</f>
        <v>RUA MARIA MARTA VIEIRA</v>
      </c>
      <c r="B36" s="473"/>
      <c r="C36" s="473"/>
      <c r="D36" s="473"/>
      <c r="E36" s="473"/>
      <c r="F36" s="473"/>
      <c r="G36" s="473"/>
      <c r="H36" s="473"/>
      <c r="I36" s="474"/>
    </row>
    <row r="37" spans="1:9" ht="15.75" x14ac:dyDescent="0.25">
      <c r="A37" s="237" t="s">
        <v>308</v>
      </c>
      <c r="B37" s="464" t="s">
        <v>386</v>
      </c>
      <c r="C37" s="464"/>
      <c r="D37" s="464"/>
      <c r="E37" s="464"/>
      <c r="F37" s="464"/>
      <c r="G37" s="465"/>
      <c r="H37" s="238" t="s">
        <v>309</v>
      </c>
      <c r="I37" s="239">
        <f>50.98+58.94+76.52+78.52+3.62+2.87</f>
        <v>271.45</v>
      </c>
    </row>
    <row r="38" spans="1:9" ht="15.75" x14ac:dyDescent="0.25">
      <c r="A38" s="240" t="s">
        <v>310</v>
      </c>
      <c r="B38" s="466" t="s">
        <v>388</v>
      </c>
      <c r="C38" s="466"/>
      <c r="D38" s="466"/>
      <c r="E38" s="466"/>
      <c r="F38" s="466"/>
      <c r="G38" s="466"/>
      <c r="H38" s="241" t="s">
        <v>309</v>
      </c>
      <c r="I38" s="239">
        <f>51.49+3.6+6.44+149.71+3.64</f>
        <v>214.88</v>
      </c>
    </row>
    <row r="39" spans="1:9" ht="15.75" x14ac:dyDescent="0.25">
      <c r="A39" s="467"/>
      <c r="B39" s="468"/>
      <c r="C39" s="468"/>
      <c r="D39" s="468"/>
      <c r="E39" s="468"/>
      <c r="F39" s="468"/>
      <c r="G39" s="468"/>
      <c r="H39" s="468"/>
      <c r="I39" s="469"/>
    </row>
    <row r="40" spans="1:9" ht="16.5" thickBot="1" x14ac:dyDescent="0.3">
      <c r="A40" s="242"/>
      <c r="B40" s="470" t="s">
        <v>311</v>
      </c>
      <c r="C40" s="470"/>
      <c r="D40" s="470"/>
      <c r="E40" s="470"/>
      <c r="F40" s="470"/>
      <c r="G40" s="471"/>
      <c r="H40" s="243" t="s">
        <v>309</v>
      </c>
      <c r="I40" s="244">
        <f>SUBTOTAL(9,I37:I38)</f>
        <v>486.33</v>
      </c>
    </row>
    <row r="41" spans="1:9" ht="15.75" x14ac:dyDescent="0.25">
      <c r="A41" s="472" t="str">
        <f>IMPRIMAÇÃO!B20</f>
        <v>AV. DIONITA JUVENAL DA EXALTAÇÃO</v>
      </c>
      <c r="B41" s="473"/>
      <c r="C41" s="473"/>
      <c r="D41" s="473"/>
      <c r="E41" s="473"/>
      <c r="F41" s="473"/>
      <c r="G41" s="473"/>
      <c r="H41" s="473"/>
      <c r="I41" s="474"/>
    </row>
    <row r="42" spans="1:9" ht="15.75" x14ac:dyDescent="0.25">
      <c r="A42" s="237" t="s">
        <v>308</v>
      </c>
      <c r="B42" s="464" t="s">
        <v>389</v>
      </c>
      <c r="C42" s="464"/>
      <c r="D42" s="464"/>
      <c r="E42" s="464"/>
      <c r="F42" s="464"/>
      <c r="G42" s="465"/>
      <c r="H42" s="238" t="s">
        <v>309</v>
      </c>
      <c r="I42" s="239">
        <f>3.87+61.95+3.61</f>
        <v>69.430000000000007</v>
      </c>
    </row>
    <row r="43" spans="1:9" ht="15.75" x14ac:dyDescent="0.25">
      <c r="A43" s="240" t="s">
        <v>310</v>
      </c>
      <c r="B43" s="466" t="s">
        <v>390</v>
      </c>
      <c r="C43" s="466"/>
      <c r="D43" s="466"/>
      <c r="E43" s="466"/>
      <c r="F43" s="466"/>
      <c r="G43" s="466"/>
      <c r="H43" s="241" t="s">
        <v>309</v>
      </c>
      <c r="I43" s="239">
        <f>3.63+62.39+3.61</f>
        <v>69.63</v>
      </c>
    </row>
    <row r="44" spans="1:9" ht="15.75" x14ac:dyDescent="0.25">
      <c r="A44" s="467"/>
      <c r="B44" s="468"/>
      <c r="C44" s="468"/>
      <c r="D44" s="468"/>
      <c r="E44" s="468"/>
      <c r="F44" s="468"/>
      <c r="G44" s="468"/>
      <c r="H44" s="468"/>
      <c r="I44" s="469"/>
    </row>
    <row r="45" spans="1:9" ht="16.5" thickBot="1" x14ac:dyDescent="0.3">
      <c r="A45" s="242"/>
      <c r="B45" s="470" t="s">
        <v>311</v>
      </c>
      <c r="C45" s="470"/>
      <c r="D45" s="470"/>
      <c r="E45" s="470"/>
      <c r="F45" s="470"/>
      <c r="G45" s="471"/>
      <c r="H45" s="243" t="s">
        <v>309</v>
      </c>
      <c r="I45" s="244">
        <f>SUBTOTAL(9,I42:I43)</f>
        <v>139.06</v>
      </c>
    </row>
    <row r="46" spans="1:9" ht="15.75" x14ac:dyDescent="0.25">
      <c r="A46" s="472" t="str">
        <f>IMPRIMAÇÃO!B21</f>
        <v>AV. EDUARDO VIEIRA</v>
      </c>
      <c r="B46" s="473"/>
      <c r="C46" s="473"/>
      <c r="D46" s="473"/>
      <c r="E46" s="473"/>
      <c r="F46" s="473"/>
      <c r="G46" s="473"/>
      <c r="H46" s="473"/>
      <c r="I46" s="474"/>
    </row>
    <row r="47" spans="1:9" ht="15.75" x14ac:dyDescent="0.25">
      <c r="A47" s="237" t="s">
        <v>308</v>
      </c>
      <c r="B47" s="464" t="s">
        <v>391</v>
      </c>
      <c r="C47" s="464"/>
      <c r="D47" s="464"/>
      <c r="E47" s="464"/>
      <c r="F47" s="464"/>
      <c r="G47" s="465"/>
      <c r="H47" s="238" t="s">
        <v>309</v>
      </c>
      <c r="I47" s="239">
        <f>6.57+64.3+5.38+73.78+4.94</f>
        <v>154.97</v>
      </c>
    </row>
    <row r="48" spans="1:9" ht="15.75" x14ac:dyDescent="0.25">
      <c r="A48" s="240" t="s">
        <v>310</v>
      </c>
      <c r="B48" s="466" t="s">
        <v>392</v>
      </c>
      <c r="C48" s="466"/>
      <c r="D48" s="466"/>
      <c r="E48" s="466"/>
      <c r="F48" s="466"/>
      <c r="G48" s="466"/>
      <c r="H48" s="241" t="s">
        <v>309</v>
      </c>
      <c r="I48" s="239">
        <f>6.93+61.34+84.85+5.55</f>
        <v>158.67000000000002</v>
      </c>
    </row>
    <row r="49" spans="1:9" ht="15.75" x14ac:dyDescent="0.25">
      <c r="A49" s="467"/>
      <c r="B49" s="468"/>
      <c r="C49" s="468"/>
      <c r="D49" s="468"/>
      <c r="E49" s="468"/>
      <c r="F49" s="468"/>
      <c r="G49" s="468"/>
      <c r="H49" s="468"/>
      <c r="I49" s="469"/>
    </row>
    <row r="50" spans="1:9" ht="16.5" thickBot="1" x14ac:dyDescent="0.3">
      <c r="A50" s="242"/>
      <c r="B50" s="470" t="s">
        <v>311</v>
      </c>
      <c r="C50" s="470"/>
      <c r="D50" s="470"/>
      <c r="E50" s="470"/>
      <c r="F50" s="470"/>
      <c r="G50" s="471"/>
      <c r="H50" s="243" t="s">
        <v>309</v>
      </c>
      <c r="I50" s="244">
        <f>SUBTOTAL(9,I47:I48)</f>
        <v>313.64</v>
      </c>
    </row>
    <row r="51" spans="1:9" ht="15.75" x14ac:dyDescent="0.25">
      <c r="A51" s="472" t="str">
        <f>IMPRIMAÇÃO!B22</f>
        <v>TRAVESSA A</v>
      </c>
      <c r="B51" s="473"/>
      <c r="C51" s="473"/>
      <c r="D51" s="473"/>
      <c r="E51" s="473"/>
      <c r="F51" s="473"/>
      <c r="G51" s="473"/>
      <c r="H51" s="473"/>
      <c r="I51" s="474"/>
    </row>
    <row r="52" spans="1:9" ht="15.75" x14ac:dyDescent="0.25">
      <c r="A52" s="237" t="s">
        <v>308</v>
      </c>
      <c r="B52" s="464" t="s">
        <v>393</v>
      </c>
      <c r="C52" s="464"/>
      <c r="D52" s="464"/>
      <c r="E52" s="464"/>
      <c r="F52" s="464"/>
      <c r="G52" s="465"/>
      <c r="H52" s="238" t="s">
        <v>309</v>
      </c>
      <c r="I52" s="239">
        <f>6.77+92.07+5.84</f>
        <v>104.67999999999999</v>
      </c>
    </row>
    <row r="53" spans="1:9" ht="15.75" x14ac:dyDescent="0.25">
      <c r="A53" s="240" t="s">
        <v>310</v>
      </c>
      <c r="B53" s="466" t="s">
        <v>394</v>
      </c>
      <c r="C53" s="466"/>
      <c r="D53" s="466"/>
      <c r="E53" s="466"/>
      <c r="F53" s="466"/>
      <c r="G53" s="466"/>
      <c r="H53" s="241" t="s">
        <v>309</v>
      </c>
      <c r="I53" s="239">
        <f>6.76+88.81+7.69</f>
        <v>103.26</v>
      </c>
    </row>
    <row r="54" spans="1:9" ht="15.75" x14ac:dyDescent="0.25">
      <c r="A54" s="467"/>
      <c r="B54" s="468"/>
      <c r="C54" s="468"/>
      <c r="D54" s="468"/>
      <c r="E54" s="468"/>
      <c r="F54" s="468"/>
      <c r="G54" s="468"/>
      <c r="H54" s="468"/>
      <c r="I54" s="469"/>
    </row>
    <row r="55" spans="1:9" ht="16.5" thickBot="1" x14ac:dyDescent="0.3">
      <c r="A55" s="242"/>
      <c r="B55" s="470" t="s">
        <v>311</v>
      </c>
      <c r="C55" s="470"/>
      <c r="D55" s="470"/>
      <c r="E55" s="470"/>
      <c r="F55" s="470"/>
      <c r="G55" s="471"/>
      <c r="H55" s="243" t="s">
        <v>309</v>
      </c>
      <c r="I55" s="244">
        <f>SUBTOTAL(9,I52:I53)</f>
        <v>207.94</v>
      </c>
    </row>
    <row r="56" spans="1:9" ht="15.75" x14ac:dyDescent="0.25">
      <c r="A56" s="472" t="str">
        <f>IMPRIMAÇÃO!B23</f>
        <v>RUA CAETÊ</v>
      </c>
      <c r="B56" s="473"/>
      <c r="C56" s="473"/>
      <c r="D56" s="473"/>
      <c r="E56" s="473"/>
      <c r="F56" s="473"/>
      <c r="G56" s="473"/>
      <c r="H56" s="473"/>
      <c r="I56" s="474"/>
    </row>
    <row r="57" spans="1:9" ht="15.75" x14ac:dyDescent="0.25">
      <c r="A57" s="237" t="s">
        <v>308</v>
      </c>
      <c r="B57" s="464" t="s">
        <v>395</v>
      </c>
      <c r="C57" s="464"/>
      <c r="D57" s="464"/>
      <c r="E57" s="464"/>
      <c r="F57" s="464"/>
      <c r="G57" s="465"/>
      <c r="H57" s="238" t="s">
        <v>309</v>
      </c>
      <c r="I57" s="239">
        <f>6.54+6.29+56.5+54.3+51.13+4</f>
        <v>178.76</v>
      </c>
    </row>
    <row r="58" spans="1:9" ht="15.75" x14ac:dyDescent="0.25">
      <c r="A58" s="240" t="s">
        <v>310</v>
      </c>
      <c r="B58" s="466" t="s">
        <v>396</v>
      </c>
      <c r="C58" s="466"/>
      <c r="D58" s="466"/>
      <c r="E58" s="466"/>
      <c r="F58" s="466"/>
      <c r="G58" s="466"/>
      <c r="H58" s="241" t="s">
        <v>309</v>
      </c>
      <c r="I58" s="239">
        <f>4.81+38.56+64.44+68.8+2.93</f>
        <v>179.54000000000002</v>
      </c>
    </row>
    <row r="59" spans="1:9" ht="15.75" x14ac:dyDescent="0.25">
      <c r="A59" s="467"/>
      <c r="B59" s="468"/>
      <c r="C59" s="468"/>
      <c r="D59" s="468"/>
      <c r="E59" s="468"/>
      <c r="F59" s="468"/>
      <c r="G59" s="468"/>
      <c r="H59" s="468"/>
      <c r="I59" s="469"/>
    </row>
    <row r="60" spans="1:9" ht="16.5" thickBot="1" x14ac:dyDescent="0.3">
      <c r="A60" s="242"/>
      <c r="B60" s="470" t="s">
        <v>311</v>
      </c>
      <c r="C60" s="470"/>
      <c r="D60" s="470"/>
      <c r="E60" s="470"/>
      <c r="F60" s="470"/>
      <c r="G60" s="471"/>
      <c r="H60" s="243" t="s">
        <v>309</v>
      </c>
      <c r="I60" s="244">
        <f>SUBTOTAL(9,I57:I58)</f>
        <v>358.3</v>
      </c>
    </row>
    <row r="61" spans="1:9" ht="15.75" x14ac:dyDescent="0.25">
      <c r="A61" s="472" t="str">
        <f>IMPRIMAÇÃO!B24</f>
        <v>RUA MARIA MARTA VIEIRA</v>
      </c>
      <c r="B61" s="473"/>
      <c r="C61" s="473"/>
      <c r="D61" s="473"/>
      <c r="E61" s="473"/>
      <c r="F61" s="473"/>
      <c r="G61" s="473"/>
      <c r="H61" s="473"/>
      <c r="I61" s="474"/>
    </row>
    <row r="62" spans="1:9" ht="15.75" x14ac:dyDescent="0.25">
      <c r="A62" s="237" t="s">
        <v>308</v>
      </c>
      <c r="B62" s="464" t="s">
        <v>397</v>
      </c>
      <c r="C62" s="464"/>
      <c r="D62" s="464"/>
      <c r="E62" s="464"/>
      <c r="F62" s="464"/>
      <c r="G62" s="465"/>
      <c r="H62" s="238" t="s">
        <v>309</v>
      </c>
      <c r="I62" s="239">
        <f>2.87+86.18+44.46+8.27+92.43+3.43+3.47+139.18+6.02</f>
        <v>386.31000000000006</v>
      </c>
    </row>
    <row r="63" spans="1:9" ht="15.75" x14ac:dyDescent="0.25">
      <c r="A63" s="240" t="s">
        <v>310</v>
      </c>
      <c r="B63" s="466" t="s">
        <v>398</v>
      </c>
      <c r="C63" s="466"/>
      <c r="D63" s="466"/>
      <c r="E63" s="466"/>
      <c r="F63" s="466"/>
      <c r="G63" s="466"/>
      <c r="H63" s="241" t="s">
        <v>309</v>
      </c>
      <c r="I63" s="239">
        <f>8.4+142.99+3.78+7.7+92.46+3.65+3.6+139.06+3.82</f>
        <v>405.46</v>
      </c>
    </row>
    <row r="64" spans="1:9" ht="15.75" x14ac:dyDescent="0.25">
      <c r="A64" s="467"/>
      <c r="B64" s="468"/>
      <c r="C64" s="468"/>
      <c r="D64" s="468"/>
      <c r="E64" s="468"/>
      <c r="F64" s="468"/>
      <c r="G64" s="468"/>
      <c r="H64" s="468"/>
      <c r="I64" s="469"/>
    </row>
    <row r="65" spans="1:9" ht="16.5" thickBot="1" x14ac:dyDescent="0.3">
      <c r="A65" s="242"/>
      <c r="B65" s="470" t="s">
        <v>311</v>
      </c>
      <c r="C65" s="470"/>
      <c r="D65" s="470"/>
      <c r="E65" s="470"/>
      <c r="F65" s="470"/>
      <c r="G65" s="471"/>
      <c r="H65" s="243" t="s">
        <v>309</v>
      </c>
      <c r="I65" s="244">
        <f>SUBTOTAL(9,I62:I63)</f>
        <v>791.77</v>
      </c>
    </row>
    <row r="66" spans="1:9" ht="15.75" x14ac:dyDescent="0.25">
      <c r="A66" s="472" t="str">
        <f>IMPRIMAÇÃO!B25</f>
        <v>RUA 02</v>
      </c>
      <c r="B66" s="473"/>
      <c r="C66" s="473"/>
      <c r="D66" s="473"/>
      <c r="E66" s="473"/>
      <c r="F66" s="473"/>
      <c r="G66" s="473"/>
      <c r="H66" s="473"/>
      <c r="I66" s="474"/>
    </row>
    <row r="67" spans="1:9" ht="15.75" x14ac:dyDescent="0.25">
      <c r="A67" s="237" t="s">
        <v>308</v>
      </c>
      <c r="B67" s="464" t="s">
        <v>399</v>
      </c>
      <c r="C67" s="464"/>
      <c r="D67" s="464"/>
      <c r="E67" s="464"/>
      <c r="F67" s="464"/>
      <c r="G67" s="465"/>
      <c r="H67" s="238" t="s">
        <v>309</v>
      </c>
      <c r="I67" s="239">
        <f>6.52+103.68+3.48</f>
        <v>113.68</v>
      </c>
    </row>
    <row r="68" spans="1:9" ht="15.75" x14ac:dyDescent="0.25">
      <c r="A68" s="240" t="s">
        <v>310</v>
      </c>
      <c r="B68" s="466" t="s">
        <v>400</v>
      </c>
      <c r="C68" s="466"/>
      <c r="D68" s="466"/>
      <c r="E68" s="466"/>
      <c r="F68" s="466"/>
      <c r="G68" s="466"/>
      <c r="H68" s="241" t="s">
        <v>309</v>
      </c>
      <c r="I68" s="239">
        <f>7.89+101.59+3.86</f>
        <v>113.34</v>
      </c>
    </row>
    <row r="69" spans="1:9" ht="15.75" x14ac:dyDescent="0.25">
      <c r="A69" s="467"/>
      <c r="B69" s="468"/>
      <c r="C69" s="468"/>
      <c r="D69" s="468"/>
      <c r="E69" s="468"/>
      <c r="F69" s="468"/>
      <c r="G69" s="468"/>
      <c r="H69" s="468"/>
      <c r="I69" s="469"/>
    </row>
    <row r="70" spans="1:9" ht="16.5" thickBot="1" x14ac:dyDescent="0.3">
      <c r="A70" s="242"/>
      <c r="B70" s="470" t="s">
        <v>311</v>
      </c>
      <c r="C70" s="470"/>
      <c r="D70" s="470"/>
      <c r="E70" s="470"/>
      <c r="F70" s="470"/>
      <c r="G70" s="471"/>
      <c r="H70" s="243" t="s">
        <v>309</v>
      </c>
      <c r="I70" s="244">
        <f>SUBTOTAL(9,I67:I68)</f>
        <v>227.02</v>
      </c>
    </row>
    <row r="71" spans="1:9" ht="15.75" x14ac:dyDescent="0.25">
      <c r="A71" s="472" t="str">
        <f>IMPRIMAÇÃO!B26</f>
        <v>RUA E</v>
      </c>
      <c r="B71" s="473"/>
      <c r="C71" s="473"/>
      <c r="D71" s="473"/>
      <c r="E71" s="473"/>
      <c r="F71" s="473"/>
      <c r="G71" s="473"/>
      <c r="H71" s="473"/>
      <c r="I71" s="474"/>
    </row>
    <row r="72" spans="1:9" ht="15.75" x14ac:dyDescent="0.25">
      <c r="A72" s="237" t="s">
        <v>308</v>
      </c>
      <c r="B72" s="464" t="s">
        <v>401</v>
      </c>
      <c r="C72" s="464"/>
      <c r="D72" s="464"/>
      <c r="E72" s="464"/>
      <c r="F72" s="464"/>
      <c r="G72" s="465"/>
      <c r="H72" s="238" t="s">
        <v>309</v>
      </c>
      <c r="I72" s="239">
        <f>2.04+2.06+62.87+3.09+3.09+63.31+68.01+3.09</f>
        <v>207.56000000000003</v>
      </c>
    </row>
    <row r="73" spans="1:9" ht="15.75" x14ac:dyDescent="0.25">
      <c r="A73" s="240" t="s">
        <v>310</v>
      </c>
      <c r="B73" s="466" t="s">
        <v>402</v>
      </c>
      <c r="C73" s="466"/>
      <c r="D73" s="466"/>
      <c r="E73" s="466"/>
      <c r="F73" s="466"/>
      <c r="G73" s="466"/>
      <c r="H73" s="241" t="s">
        <v>309</v>
      </c>
      <c r="I73" s="239">
        <f>1.92+2.14+63.08+63.73+67.24+3.2</f>
        <v>201.31</v>
      </c>
    </row>
    <row r="74" spans="1:9" ht="15.75" x14ac:dyDescent="0.25">
      <c r="A74" s="467"/>
      <c r="B74" s="468"/>
      <c r="C74" s="468"/>
      <c r="D74" s="468"/>
      <c r="E74" s="468"/>
      <c r="F74" s="468"/>
      <c r="G74" s="468"/>
      <c r="H74" s="468"/>
      <c r="I74" s="469"/>
    </row>
    <row r="75" spans="1:9" ht="16.5" thickBot="1" x14ac:dyDescent="0.3">
      <c r="A75" s="242"/>
      <c r="B75" s="470" t="s">
        <v>311</v>
      </c>
      <c r="C75" s="470"/>
      <c r="D75" s="470"/>
      <c r="E75" s="470"/>
      <c r="F75" s="470"/>
      <c r="G75" s="471"/>
      <c r="H75" s="243" t="s">
        <v>309</v>
      </c>
      <c r="I75" s="244">
        <f>SUBTOTAL(9,I72:I73)</f>
        <v>408.87</v>
      </c>
    </row>
    <row r="76" spans="1:9" ht="15.75" x14ac:dyDescent="0.25">
      <c r="A76" s="472" t="str">
        <f>IMPRIMAÇÃO!B27</f>
        <v>TV ALTO PARAISO</v>
      </c>
      <c r="B76" s="473"/>
      <c r="C76" s="473"/>
      <c r="D76" s="473"/>
      <c r="E76" s="473"/>
      <c r="F76" s="473"/>
      <c r="G76" s="473"/>
      <c r="H76" s="473"/>
      <c r="I76" s="474"/>
    </row>
    <row r="77" spans="1:9" ht="15.75" x14ac:dyDescent="0.25">
      <c r="A77" s="237" t="s">
        <v>308</v>
      </c>
      <c r="B77" s="464" t="s">
        <v>403</v>
      </c>
      <c r="C77" s="464"/>
      <c r="D77" s="464"/>
      <c r="E77" s="464"/>
      <c r="F77" s="464"/>
      <c r="G77" s="465"/>
      <c r="H77" s="238" t="s">
        <v>309</v>
      </c>
      <c r="I77" s="239">
        <f>3.37+92+2.88</f>
        <v>98.25</v>
      </c>
    </row>
    <row r="78" spans="1:9" ht="15.75" x14ac:dyDescent="0.25">
      <c r="A78" s="240" t="s">
        <v>310</v>
      </c>
      <c r="B78" s="466" t="s">
        <v>404</v>
      </c>
      <c r="C78" s="466"/>
      <c r="D78" s="466"/>
      <c r="E78" s="466"/>
      <c r="F78" s="466"/>
      <c r="G78" s="466"/>
      <c r="H78" s="241" t="s">
        <v>309</v>
      </c>
      <c r="I78" s="239">
        <f>81.66+3.32</f>
        <v>84.97999999999999</v>
      </c>
    </row>
    <row r="79" spans="1:9" ht="15.75" x14ac:dyDescent="0.25">
      <c r="A79" s="467"/>
      <c r="B79" s="468"/>
      <c r="C79" s="468"/>
      <c r="D79" s="468"/>
      <c r="E79" s="468"/>
      <c r="F79" s="468"/>
      <c r="G79" s="468"/>
      <c r="H79" s="468"/>
      <c r="I79" s="469"/>
    </row>
    <row r="80" spans="1:9" ht="16.5" thickBot="1" x14ac:dyDescent="0.3">
      <c r="A80" s="242"/>
      <c r="B80" s="470" t="s">
        <v>311</v>
      </c>
      <c r="C80" s="470"/>
      <c r="D80" s="470"/>
      <c r="E80" s="470"/>
      <c r="F80" s="470"/>
      <c r="G80" s="471"/>
      <c r="H80" s="243" t="s">
        <v>309</v>
      </c>
      <c r="I80" s="244">
        <f>SUBTOTAL(9,I77:I78)</f>
        <v>183.23</v>
      </c>
    </row>
    <row r="81" spans="1:9" ht="15.75" x14ac:dyDescent="0.25">
      <c r="A81" s="245"/>
      <c r="B81" s="226"/>
      <c r="C81" s="226"/>
      <c r="D81" s="226"/>
      <c r="E81" s="226"/>
      <c r="F81" s="226"/>
      <c r="G81" s="226"/>
      <c r="H81" s="246"/>
      <c r="I81" s="247"/>
    </row>
    <row r="82" spans="1:9" ht="15.75" x14ac:dyDescent="0.25">
      <c r="A82" s="245"/>
      <c r="B82" s="226"/>
      <c r="C82" s="226"/>
      <c r="D82" s="226"/>
      <c r="E82" s="226"/>
      <c r="F82" s="226"/>
      <c r="G82" s="248" t="s">
        <v>85</v>
      </c>
      <c r="H82" s="246" t="s">
        <v>309</v>
      </c>
      <c r="I82" s="249">
        <f>I80+I75+I65+I60+I55+I45+I40+I35+I30+I25+I20+I15</f>
        <v>4821.13</v>
      </c>
    </row>
    <row r="83" spans="1:9" ht="16.5" thickBot="1" x14ac:dyDescent="0.3">
      <c r="A83" s="250"/>
      <c r="B83" s="251"/>
      <c r="C83" s="251"/>
      <c r="D83" s="251"/>
      <c r="E83" s="251"/>
      <c r="F83" s="251"/>
      <c r="G83" s="251"/>
      <c r="H83" s="252"/>
      <c r="I83" s="253"/>
    </row>
  </sheetData>
  <mergeCells count="76">
    <mergeCell ref="A71:I71"/>
    <mergeCell ref="N1:O1"/>
    <mergeCell ref="A2:J2"/>
    <mergeCell ref="A3:J3"/>
    <mergeCell ref="A4:J4"/>
    <mergeCell ref="A5:J5"/>
    <mergeCell ref="A66:I66"/>
    <mergeCell ref="B67:G67"/>
    <mergeCell ref="B68:G68"/>
    <mergeCell ref="A69:I69"/>
    <mergeCell ref="B70:G70"/>
    <mergeCell ref="A61:I61"/>
    <mergeCell ref="B62:G62"/>
    <mergeCell ref="B63:G63"/>
    <mergeCell ref="A64:I64"/>
    <mergeCell ref="B65:G65"/>
    <mergeCell ref="A56:I56"/>
    <mergeCell ref="B57:G57"/>
    <mergeCell ref="B58:G58"/>
    <mergeCell ref="A59:I59"/>
    <mergeCell ref="B60:G60"/>
    <mergeCell ref="B48:G48"/>
    <mergeCell ref="B52:G52"/>
    <mergeCell ref="B53:G53"/>
    <mergeCell ref="A54:I54"/>
    <mergeCell ref="B55:G55"/>
    <mergeCell ref="A49:I49"/>
    <mergeCell ref="B50:G50"/>
    <mergeCell ref="B43:G43"/>
    <mergeCell ref="A44:I44"/>
    <mergeCell ref="B45:G45"/>
    <mergeCell ref="A46:I46"/>
    <mergeCell ref="B47:G47"/>
    <mergeCell ref="A29:I29"/>
    <mergeCell ref="B42:G42"/>
    <mergeCell ref="A31:I31"/>
    <mergeCell ref="B32:G32"/>
    <mergeCell ref="B33:G33"/>
    <mergeCell ref="A34:I34"/>
    <mergeCell ref="B35:G35"/>
    <mergeCell ref="A36:I36"/>
    <mergeCell ref="B37:G37"/>
    <mergeCell ref="B38:G38"/>
    <mergeCell ref="A39:I39"/>
    <mergeCell ref="B40:G40"/>
    <mergeCell ref="A41:I41"/>
    <mergeCell ref="A24:I24"/>
    <mergeCell ref="B25:G25"/>
    <mergeCell ref="A26:I26"/>
    <mergeCell ref="B27:G27"/>
    <mergeCell ref="B28:G28"/>
    <mergeCell ref="B18:G18"/>
    <mergeCell ref="A10:I10"/>
    <mergeCell ref="A11:I11"/>
    <mergeCell ref="B12:G12"/>
    <mergeCell ref="A51:I51"/>
    <mergeCell ref="B13:G13"/>
    <mergeCell ref="A14:I14"/>
    <mergeCell ref="B15:G15"/>
    <mergeCell ref="A16:I16"/>
    <mergeCell ref="B17:G17"/>
    <mergeCell ref="B30:G30"/>
    <mergeCell ref="A19:I19"/>
    <mergeCell ref="B20:G20"/>
    <mergeCell ref="A21:I21"/>
    <mergeCell ref="B22:G22"/>
    <mergeCell ref="B23:G23"/>
    <mergeCell ref="B77:G77"/>
    <mergeCell ref="B78:G78"/>
    <mergeCell ref="A79:I79"/>
    <mergeCell ref="B80:G80"/>
    <mergeCell ref="B72:G72"/>
    <mergeCell ref="B73:G73"/>
    <mergeCell ref="A74:I74"/>
    <mergeCell ref="B75:G75"/>
    <mergeCell ref="A76:I76"/>
  </mergeCells>
  <printOptions horizontalCentered="1"/>
  <pageMargins left="0.15748031496062992" right="0.19685039370078741" top="0.78740157480314965" bottom="0.78740157480314965" header="0.15748031496062992" footer="0.31496062992125984"/>
  <pageSetup paperSize="9" scale="95" firstPageNumber="25" fitToHeight="0" orientation="landscape" useFirstPageNumber="1" r:id="rId1"/>
  <headerFooter scaleWithDoc="0">
    <oddFooter>&amp;C&amp;"-,Negrito itálico"Kaik Eduardo Silva Vilar
Engenheiro Civil
CREA: 241510947-9</oddFooter>
  </headerFooter>
  <rowBreaks count="1" manualBreakCount="1">
    <brk id="30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M132"/>
  <sheetViews>
    <sheetView showGridLines="0" view="pageBreakPreview" zoomScale="85" zoomScaleNormal="10" zoomScaleSheetLayoutView="85" workbookViewId="0">
      <selection activeCell="P127" sqref="P127"/>
    </sheetView>
  </sheetViews>
  <sheetFormatPr defaultColWidth="9" defaultRowHeight="15" x14ac:dyDescent="0.25"/>
  <cols>
    <col min="1" max="1" width="9.375" style="200" customWidth="1"/>
    <col min="2" max="2" width="5.25" style="200" customWidth="1"/>
    <col min="3" max="3" width="33.875" style="200" customWidth="1"/>
    <col min="4" max="4" width="17" style="200" customWidth="1"/>
    <col min="5" max="5" width="12.5" style="200" customWidth="1"/>
    <col min="6" max="6" width="7.25" style="200" customWidth="1"/>
    <col min="7" max="7" width="5" style="201" customWidth="1"/>
    <col min="8" max="9" width="7.25" style="200" customWidth="1"/>
    <col min="10" max="10" width="9" style="201" customWidth="1"/>
    <col min="11" max="17" width="16.375" style="200" customWidth="1"/>
    <col min="18" max="246" width="0" style="200" hidden="1" customWidth="1"/>
    <col min="247" max="16384" width="9" style="200"/>
  </cols>
  <sheetData>
    <row r="1" spans="1:17" s="11" customFormat="1" ht="7.5" customHeight="1" x14ac:dyDescent="0.25">
      <c r="B1" s="8"/>
      <c r="C1" s="9"/>
      <c r="D1" s="9"/>
      <c r="E1" s="10"/>
      <c r="F1" s="9"/>
      <c r="G1" s="10"/>
      <c r="H1" s="9"/>
      <c r="I1" s="10"/>
      <c r="J1" s="9"/>
      <c r="K1" s="10"/>
      <c r="L1" s="10"/>
      <c r="M1" s="9"/>
      <c r="N1" s="454"/>
      <c r="O1" s="455"/>
      <c r="P1" s="12"/>
    </row>
    <row r="2" spans="1:17" customFormat="1" ht="18.75" x14ac:dyDescent="0.2">
      <c r="A2" s="456" t="s">
        <v>170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</row>
    <row r="3" spans="1:17" customFormat="1" ht="15.75" x14ac:dyDescent="0.2">
      <c r="A3" s="325" t="s">
        <v>171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</row>
    <row r="4" spans="1:17" customFormat="1" ht="14.25" x14ac:dyDescent="0.2">
      <c r="A4" s="328" t="s">
        <v>172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</row>
    <row r="5" spans="1:17" customFormat="1" ht="14.25" x14ac:dyDescent="0.2">
      <c r="A5" s="328" t="s">
        <v>173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</row>
    <row r="6" spans="1:17" s="4" customFormat="1" x14ac:dyDescent="0.25">
      <c r="A6" s="24" t="s">
        <v>65</v>
      </c>
      <c r="B6" s="25" t="s">
        <v>66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7" s="4" customFormat="1" x14ac:dyDescent="0.25">
      <c r="A7" s="24" t="s">
        <v>67</v>
      </c>
      <c r="B7" s="25" t="s">
        <v>68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7" s="4" customFormat="1" x14ac:dyDescent="0.25">
      <c r="A8" s="24" t="s">
        <v>69</v>
      </c>
      <c r="B8" s="25" t="s">
        <v>170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7" s="4" customFormat="1" x14ac:dyDescent="0.25">
      <c r="A9" s="24" t="s">
        <v>70</v>
      </c>
      <c r="B9" s="26" t="s">
        <v>411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7" s="165" customFormat="1" ht="22.5" customHeight="1" x14ac:dyDescent="0.2">
      <c r="A10" s="414" t="s">
        <v>247</v>
      </c>
      <c r="B10" s="415"/>
      <c r="C10" s="415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</row>
    <row r="11" spans="1:17" s="165" customFormat="1" ht="15.75" x14ac:dyDescent="0.2">
      <c r="A11" s="166" t="s">
        <v>248</v>
      </c>
      <c r="B11" s="167" t="s">
        <v>249</v>
      </c>
      <c r="C11" s="167"/>
      <c r="D11" s="167"/>
      <c r="E11" s="167"/>
      <c r="F11" s="167"/>
      <c r="G11" s="168"/>
      <c r="H11" s="169"/>
      <c r="I11" s="167"/>
      <c r="J11" s="168"/>
      <c r="K11" s="169"/>
      <c r="L11" s="169"/>
      <c r="M11" s="169"/>
      <c r="N11" s="169"/>
      <c r="O11" s="169"/>
      <c r="P11" s="169"/>
      <c r="Q11" s="170"/>
    </row>
    <row r="12" spans="1:17" s="172" customFormat="1" ht="12.75" customHeight="1" x14ac:dyDescent="0.2">
      <c r="A12" s="445" t="s">
        <v>90</v>
      </c>
      <c r="B12" s="418" t="s">
        <v>177</v>
      </c>
      <c r="C12" s="419"/>
      <c r="D12" s="419"/>
      <c r="E12" s="419"/>
      <c r="F12" s="419"/>
      <c r="G12" s="419"/>
      <c r="H12" s="419"/>
      <c r="I12" s="419"/>
      <c r="J12" s="419"/>
      <c r="K12" s="507"/>
      <c r="L12" s="171" t="s">
        <v>179</v>
      </c>
      <c r="M12" s="171" t="s">
        <v>250</v>
      </c>
      <c r="N12" s="171" t="s">
        <v>181</v>
      </c>
      <c r="O12" s="503" t="s">
        <v>251</v>
      </c>
      <c r="P12" s="504"/>
      <c r="Q12" s="504"/>
    </row>
    <row r="13" spans="1:17" s="172" customFormat="1" ht="15" customHeight="1" x14ac:dyDescent="0.2">
      <c r="A13" s="417"/>
      <c r="B13" s="420"/>
      <c r="C13" s="421"/>
      <c r="D13" s="421"/>
      <c r="E13" s="421"/>
      <c r="F13" s="421"/>
      <c r="G13" s="421"/>
      <c r="H13" s="421"/>
      <c r="I13" s="421"/>
      <c r="J13" s="421"/>
      <c r="K13" s="508"/>
      <c r="L13" s="152" t="s">
        <v>184</v>
      </c>
      <c r="M13" s="152" t="s">
        <v>184</v>
      </c>
      <c r="N13" s="152" t="s">
        <v>185</v>
      </c>
      <c r="O13" s="503"/>
      <c r="P13" s="504"/>
      <c r="Q13" s="504"/>
    </row>
    <row r="14" spans="1:17" s="172" customFormat="1" ht="30" customHeight="1" x14ac:dyDescent="0.2">
      <c r="A14" s="164">
        <v>1</v>
      </c>
      <c r="B14" s="173" t="str">
        <f>'SIN. VERTICAL'!B13</f>
        <v>ALAMEDA DAS GARRINCHAS</v>
      </c>
      <c r="C14" s="174"/>
      <c r="D14" s="174"/>
      <c r="E14" s="174"/>
      <c r="F14" s="174"/>
      <c r="G14" s="174"/>
      <c r="H14" s="174"/>
      <c r="I14" s="174"/>
      <c r="J14" s="174"/>
      <c r="K14" s="175"/>
      <c r="L14" s="176">
        <f>69.51+78.71</f>
        <v>148.22</v>
      </c>
      <c r="M14" s="177">
        <v>0.1</v>
      </c>
      <c r="N14" s="178">
        <f>M14*L14</f>
        <v>14.822000000000001</v>
      </c>
      <c r="O14" s="503"/>
      <c r="P14" s="504"/>
      <c r="Q14" s="504"/>
    </row>
    <row r="15" spans="1:17" s="172" customFormat="1" ht="30" customHeight="1" x14ac:dyDescent="0.2">
      <c r="A15" s="164">
        <v>2</v>
      </c>
      <c r="B15" s="173" t="str">
        <f>'SIN. VERTICAL'!B14</f>
        <v>RUA MARIA DE LOURDES VIEIRA</v>
      </c>
      <c r="C15" s="174"/>
      <c r="D15" s="174"/>
      <c r="E15" s="174"/>
      <c r="F15" s="174"/>
      <c r="G15" s="174"/>
      <c r="H15" s="174"/>
      <c r="I15" s="174"/>
      <c r="J15" s="174"/>
      <c r="K15" s="175"/>
      <c r="L15" s="176">
        <f>68.9+90.02</f>
        <v>158.92000000000002</v>
      </c>
      <c r="M15" s="177">
        <v>0.1</v>
      </c>
      <c r="N15" s="178">
        <f t="shared" ref="N15:N27" si="0">M15*L15</f>
        <v>15.892000000000003</v>
      </c>
      <c r="O15" s="503"/>
      <c r="P15" s="504"/>
      <c r="Q15" s="504"/>
    </row>
    <row r="16" spans="1:17" s="172" customFormat="1" ht="30" customHeight="1" x14ac:dyDescent="0.2">
      <c r="A16" s="164">
        <v>3</v>
      </c>
      <c r="B16" s="173" t="str">
        <f>'SIN. VERTICAL'!B15</f>
        <v>AV. JUVENTINO CIPRIANO DA EXALTAÇÃO</v>
      </c>
      <c r="C16" s="174"/>
      <c r="D16" s="174"/>
      <c r="E16" s="174"/>
      <c r="F16" s="174"/>
      <c r="G16" s="174"/>
      <c r="H16" s="174"/>
      <c r="I16" s="174"/>
      <c r="J16" s="174"/>
      <c r="K16" s="175"/>
      <c r="L16" s="176">
        <f>74.02+77.16</f>
        <v>151.18</v>
      </c>
      <c r="M16" s="177">
        <v>0.1</v>
      </c>
      <c r="N16" s="178">
        <f t="shared" si="0"/>
        <v>15.118000000000002</v>
      </c>
      <c r="O16" s="503"/>
      <c r="P16" s="504"/>
      <c r="Q16" s="504"/>
    </row>
    <row r="17" spans="1:17" s="172" customFormat="1" ht="30" customHeight="1" x14ac:dyDescent="0.2">
      <c r="A17" s="164">
        <v>4</v>
      </c>
      <c r="B17" s="173" t="str">
        <f>'SIN. VERTICAL'!B16</f>
        <v>AV. DRº RUI EVANGELISTA DA EXALTAÇÃO</v>
      </c>
      <c r="C17" s="174"/>
      <c r="D17" s="174"/>
      <c r="E17" s="174"/>
      <c r="F17" s="174"/>
      <c r="G17" s="174"/>
      <c r="H17" s="174"/>
      <c r="I17" s="174"/>
      <c r="J17" s="174"/>
      <c r="K17" s="175"/>
      <c r="L17" s="176">
        <v>257.83999999999997</v>
      </c>
      <c r="M17" s="177">
        <v>0.1</v>
      </c>
      <c r="N17" s="178">
        <f t="shared" si="0"/>
        <v>25.783999999999999</v>
      </c>
      <c r="O17" s="503"/>
      <c r="P17" s="504"/>
      <c r="Q17" s="504"/>
    </row>
    <row r="18" spans="1:17" s="172" customFormat="1" ht="30" customHeight="1" x14ac:dyDescent="0.2">
      <c r="A18" s="164">
        <v>5</v>
      </c>
      <c r="B18" s="173" t="str">
        <f>'SIN. VERTICAL'!B17</f>
        <v>RUA MIRO HENRIQUE VIEIRA FREIRE</v>
      </c>
      <c r="C18" s="174"/>
      <c r="D18" s="174"/>
      <c r="E18" s="174"/>
      <c r="F18" s="174"/>
      <c r="G18" s="174"/>
      <c r="H18" s="174"/>
      <c r="I18" s="174"/>
      <c r="J18" s="174"/>
      <c r="K18" s="175"/>
      <c r="L18" s="176">
        <f>131.68</f>
        <v>131.68</v>
      </c>
      <c r="M18" s="177">
        <v>0.1</v>
      </c>
      <c r="N18" s="178">
        <f t="shared" si="0"/>
        <v>13.168000000000001</v>
      </c>
      <c r="O18" s="503"/>
      <c r="P18" s="504"/>
      <c r="Q18" s="504"/>
    </row>
    <row r="19" spans="1:17" s="172" customFormat="1" ht="30" customHeight="1" x14ac:dyDescent="0.2">
      <c r="A19" s="164">
        <v>6</v>
      </c>
      <c r="B19" s="173" t="str">
        <f>'SIN. VERTICAL'!B18</f>
        <v>RUA MARIA MARTA VIEIRA</v>
      </c>
      <c r="C19" s="174"/>
      <c r="D19" s="174"/>
      <c r="E19" s="174"/>
      <c r="F19" s="174"/>
      <c r="G19" s="174"/>
      <c r="H19" s="174"/>
      <c r="I19" s="174"/>
      <c r="J19" s="174"/>
      <c r="K19" s="175"/>
      <c r="L19" s="176">
        <f>39.68+46.07+11+64.92</f>
        <v>161.67000000000002</v>
      </c>
      <c r="M19" s="177">
        <v>0.1</v>
      </c>
      <c r="N19" s="178">
        <f t="shared" si="0"/>
        <v>16.167000000000002</v>
      </c>
      <c r="O19" s="503"/>
      <c r="P19" s="504"/>
      <c r="Q19" s="504"/>
    </row>
    <row r="20" spans="1:17" s="172" customFormat="1" ht="30" customHeight="1" x14ac:dyDescent="0.2">
      <c r="A20" s="164">
        <v>7</v>
      </c>
      <c r="B20" s="173" t="str">
        <f>'SIN. VERTICAL'!B19</f>
        <v>AV. DIONITA JUVENAL DA EXALTAÇÃO</v>
      </c>
      <c r="C20" s="174"/>
      <c r="D20" s="174"/>
      <c r="E20" s="174"/>
      <c r="F20" s="174"/>
      <c r="G20" s="174"/>
      <c r="H20" s="174"/>
      <c r="I20" s="174"/>
      <c r="J20" s="174"/>
      <c r="K20" s="175"/>
      <c r="L20" s="176">
        <v>33.86</v>
      </c>
      <c r="M20" s="177">
        <v>0.1</v>
      </c>
      <c r="N20" s="178">
        <f t="shared" si="0"/>
        <v>3.3860000000000001</v>
      </c>
      <c r="O20" s="503"/>
      <c r="P20" s="504"/>
      <c r="Q20" s="504"/>
    </row>
    <row r="21" spans="1:17" s="172" customFormat="1" ht="30" customHeight="1" x14ac:dyDescent="0.2">
      <c r="A21" s="164">
        <v>8</v>
      </c>
      <c r="B21" s="173" t="str">
        <f>'SIN. VERTICAL'!B20</f>
        <v>AV. EDUARDO VIEIRA</v>
      </c>
      <c r="C21" s="174"/>
      <c r="D21" s="174"/>
      <c r="E21" s="174"/>
      <c r="F21" s="174"/>
      <c r="G21" s="174"/>
      <c r="H21" s="174"/>
      <c r="I21" s="174"/>
      <c r="J21" s="174"/>
      <c r="K21" s="175"/>
      <c r="L21" s="176">
        <f>77.42+10.36+58.73</f>
        <v>146.51</v>
      </c>
      <c r="M21" s="177">
        <v>0.1</v>
      </c>
      <c r="N21" s="178">
        <f t="shared" si="0"/>
        <v>14.651</v>
      </c>
      <c r="O21" s="503"/>
      <c r="P21" s="504"/>
      <c r="Q21" s="504"/>
    </row>
    <row r="22" spans="1:17" s="172" customFormat="1" ht="30" customHeight="1" x14ac:dyDescent="0.2">
      <c r="A22" s="164">
        <v>9</v>
      </c>
      <c r="B22" s="173" t="str">
        <f>'SIN. VERTICAL'!B21</f>
        <v>TRAVESSA A</v>
      </c>
      <c r="C22" s="174"/>
      <c r="D22" s="174"/>
      <c r="E22" s="174"/>
      <c r="F22" s="174"/>
      <c r="G22" s="174"/>
      <c r="H22" s="174"/>
      <c r="I22" s="174"/>
      <c r="J22" s="174"/>
      <c r="K22" s="175"/>
      <c r="L22" s="176">
        <v>64.36</v>
      </c>
      <c r="M22" s="177">
        <v>0.1</v>
      </c>
      <c r="N22" s="178">
        <f t="shared" si="0"/>
        <v>6.4359999999999999</v>
      </c>
      <c r="O22" s="503"/>
      <c r="P22" s="504"/>
      <c r="Q22" s="504"/>
    </row>
    <row r="23" spans="1:17" s="172" customFormat="1" ht="30" customHeight="1" x14ac:dyDescent="0.2">
      <c r="A23" s="164">
        <v>10</v>
      </c>
      <c r="B23" s="173" t="str">
        <f>'SIN. VERTICAL'!B22</f>
        <v>RUA CAETÊ</v>
      </c>
      <c r="C23" s="174"/>
      <c r="D23" s="174"/>
      <c r="E23" s="174"/>
      <c r="F23" s="174"/>
      <c r="G23" s="174"/>
      <c r="H23" s="174"/>
      <c r="I23" s="174"/>
      <c r="J23" s="174"/>
      <c r="K23" s="175"/>
      <c r="L23" s="176">
        <f>131.67+35.04</f>
        <v>166.70999999999998</v>
      </c>
      <c r="M23" s="177">
        <v>0.1</v>
      </c>
      <c r="N23" s="178">
        <f t="shared" si="0"/>
        <v>16.670999999999999</v>
      </c>
      <c r="O23" s="503"/>
      <c r="P23" s="504"/>
      <c r="Q23" s="504"/>
    </row>
    <row r="24" spans="1:17" s="172" customFormat="1" ht="30" customHeight="1" x14ac:dyDescent="0.2">
      <c r="A24" s="164">
        <v>11</v>
      </c>
      <c r="B24" s="173" t="str">
        <f>'SIN. VERTICAL'!B23</f>
        <v>RUA MARIA MARTA VIEIRA</v>
      </c>
      <c r="C24" s="174"/>
      <c r="D24" s="174"/>
      <c r="E24" s="174"/>
      <c r="F24" s="174"/>
      <c r="G24" s="174"/>
      <c r="H24" s="174"/>
      <c r="I24" s="174"/>
      <c r="J24" s="174"/>
      <c r="K24" s="175"/>
      <c r="L24" s="176">
        <f>115.21+83.14+127.22</f>
        <v>325.57</v>
      </c>
      <c r="M24" s="177">
        <v>0.1</v>
      </c>
      <c r="N24" s="178">
        <f t="shared" si="0"/>
        <v>32.557000000000002</v>
      </c>
      <c r="O24" s="503"/>
      <c r="P24" s="504"/>
      <c r="Q24" s="504"/>
    </row>
    <row r="25" spans="1:17" s="172" customFormat="1" ht="30" customHeight="1" x14ac:dyDescent="0.2">
      <c r="A25" s="164">
        <v>12</v>
      </c>
      <c r="B25" s="173" t="str">
        <f>'SIN. VERTICAL'!B24</f>
        <v>RUA 02</v>
      </c>
      <c r="C25" s="174"/>
      <c r="D25" s="174"/>
      <c r="E25" s="174"/>
      <c r="F25" s="174"/>
      <c r="G25" s="174"/>
      <c r="H25" s="174"/>
      <c r="I25" s="174"/>
      <c r="J25" s="174"/>
      <c r="K25" s="175"/>
      <c r="L25" s="176">
        <v>92.78</v>
      </c>
      <c r="M25" s="177">
        <v>0.1</v>
      </c>
      <c r="N25" s="178">
        <f t="shared" si="0"/>
        <v>9.2780000000000005</v>
      </c>
      <c r="O25" s="503"/>
      <c r="P25" s="504"/>
      <c r="Q25" s="504"/>
    </row>
    <row r="26" spans="1:17" s="172" customFormat="1" ht="30" customHeight="1" x14ac:dyDescent="0.2">
      <c r="A26" s="164">
        <v>13</v>
      </c>
      <c r="B26" s="173" t="str">
        <f>'SIN. VERTICAL'!B25</f>
        <v>RUA E</v>
      </c>
      <c r="C26" s="174"/>
      <c r="D26" s="174"/>
      <c r="E26" s="174"/>
      <c r="F26" s="174"/>
      <c r="G26" s="174"/>
      <c r="H26" s="174"/>
      <c r="I26" s="174"/>
      <c r="J26" s="174"/>
      <c r="K26" s="175"/>
      <c r="L26" s="176">
        <f>131.67+35.03</f>
        <v>166.7</v>
      </c>
      <c r="M26" s="177">
        <v>0.1</v>
      </c>
      <c r="N26" s="178">
        <f t="shared" si="0"/>
        <v>16.669999999999998</v>
      </c>
      <c r="O26" s="503"/>
      <c r="P26" s="504"/>
      <c r="Q26" s="504"/>
    </row>
    <row r="27" spans="1:17" s="172" customFormat="1" ht="30" customHeight="1" x14ac:dyDescent="0.2">
      <c r="A27" s="164">
        <v>14</v>
      </c>
      <c r="B27" s="173" t="str">
        <f>'SIN. VERTICAL'!B26</f>
        <v>TV ALTO PARAISO</v>
      </c>
      <c r="C27" s="174"/>
      <c r="D27" s="174"/>
      <c r="E27" s="174"/>
      <c r="F27" s="174"/>
      <c r="G27" s="174"/>
      <c r="H27" s="174"/>
      <c r="I27" s="174"/>
      <c r="J27" s="174"/>
      <c r="K27" s="175"/>
      <c r="L27" s="176">
        <f>33.62+7.95</f>
        <v>41.57</v>
      </c>
      <c r="M27" s="177">
        <v>0.1</v>
      </c>
      <c r="N27" s="178">
        <f t="shared" si="0"/>
        <v>4.157</v>
      </c>
      <c r="O27" s="503"/>
      <c r="P27" s="504"/>
      <c r="Q27" s="504"/>
    </row>
    <row r="28" spans="1:17" s="179" customFormat="1" ht="20.100000000000001" customHeight="1" x14ac:dyDescent="0.2">
      <c r="A28" s="452" t="s">
        <v>187</v>
      </c>
      <c r="B28" s="453"/>
      <c r="C28" s="453"/>
      <c r="D28" s="453"/>
      <c r="E28" s="453"/>
      <c r="F28" s="453"/>
      <c r="G28" s="453"/>
      <c r="H28" s="453"/>
      <c r="I28" s="453"/>
      <c r="J28" s="453"/>
      <c r="K28" s="453"/>
      <c r="L28" s="156">
        <f>SUM(L14:L27)</f>
        <v>2047.5699999999997</v>
      </c>
      <c r="M28" s="313"/>
      <c r="N28" s="156">
        <f>SUM(N14:N27)</f>
        <v>204.75699999999998</v>
      </c>
      <c r="O28" s="505"/>
      <c r="P28" s="506"/>
      <c r="Q28" s="506"/>
    </row>
    <row r="29" spans="1:17" s="184" customFormat="1" ht="15" customHeight="1" x14ac:dyDescent="0.2">
      <c r="A29" s="180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2"/>
      <c r="O29" s="183"/>
      <c r="P29" s="183"/>
      <c r="Q29" s="183"/>
    </row>
    <row r="30" spans="1:17" s="165" customFormat="1" ht="15.75" x14ac:dyDescent="0.2">
      <c r="A30" s="166" t="s">
        <v>248</v>
      </c>
      <c r="B30" s="167" t="s">
        <v>252</v>
      </c>
      <c r="C30" s="167"/>
      <c r="D30" s="167"/>
      <c r="E30" s="167"/>
      <c r="F30" s="167"/>
      <c r="G30" s="168"/>
      <c r="H30" s="169"/>
      <c r="I30" s="167"/>
      <c r="J30" s="168"/>
      <c r="K30" s="169"/>
      <c r="L30" s="169"/>
      <c r="M30" s="169"/>
      <c r="N30" s="169"/>
      <c r="O30" s="169"/>
      <c r="P30" s="169"/>
      <c r="Q30" s="170"/>
    </row>
    <row r="31" spans="1:17" s="172" customFormat="1" ht="12.75" customHeight="1" x14ac:dyDescent="0.2">
      <c r="A31" s="445" t="s">
        <v>90</v>
      </c>
      <c r="B31" s="314" t="s">
        <v>177</v>
      </c>
      <c r="C31" s="315"/>
      <c r="D31" s="315"/>
      <c r="E31" s="315"/>
      <c r="F31" s="315"/>
      <c r="G31" s="315"/>
      <c r="H31" s="315"/>
      <c r="I31" s="315"/>
      <c r="J31" s="171" t="s">
        <v>253</v>
      </c>
      <c r="K31" s="171" t="s">
        <v>179</v>
      </c>
      <c r="L31" s="171" t="s">
        <v>250</v>
      </c>
      <c r="M31" s="171" t="s">
        <v>412</v>
      </c>
      <c r="N31" s="171" t="s">
        <v>181</v>
      </c>
      <c r="O31" s="501" t="s">
        <v>251</v>
      </c>
      <c r="P31" s="502"/>
      <c r="Q31" s="502"/>
    </row>
    <row r="32" spans="1:17" s="172" customFormat="1" ht="15" customHeight="1" x14ac:dyDescent="0.2">
      <c r="A32" s="417"/>
      <c r="B32" s="316"/>
      <c r="C32" s="317"/>
      <c r="D32" s="317"/>
      <c r="E32" s="317"/>
      <c r="F32" s="317"/>
      <c r="G32" s="317"/>
      <c r="H32" s="317"/>
      <c r="I32" s="317"/>
      <c r="J32" s="152" t="s">
        <v>254</v>
      </c>
      <c r="K32" s="152" t="s">
        <v>184</v>
      </c>
      <c r="L32" s="152" t="s">
        <v>184</v>
      </c>
      <c r="M32" s="152" t="s">
        <v>184</v>
      </c>
      <c r="N32" s="152" t="s">
        <v>185</v>
      </c>
      <c r="O32" s="503"/>
      <c r="P32" s="504"/>
      <c r="Q32" s="504"/>
    </row>
    <row r="33" spans="1:17" s="172" customFormat="1" ht="30" customHeight="1" x14ac:dyDescent="0.2">
      <c r="A33" s="164">
        <v>1</v>
      </c>
      <c r="B33" s="173" t="str">
        <f>B14</f>
        <v>ALAMEDA DAS GARRINCHAS</v>
      </c>
      <c r="C33" s="174"/>
      <c r="D33" s="174"/>
      <c r="E33" s="174"/>
      <c r="F33" s="174"/>
      <c r="G33" s="174"/>
      <c r="H33" s="174"/>
      <c r="I33" s="174"/>
      <c r="J33" s="176">
        <v>8</v>
      </c>
      <c r="K33" s="185">
        <v>15</v>
      </c>
      <c r="L33" s="186">
        <v>0.1</v>
      </c>
      <c r="M33" s="178">
        <f>K33*J33</f>
        <v>120</v>
      </c>
      <c r="N33" s="178">
        <f t="shared" ref="N33:N46" si="1">J33*K33*L33</f>
        <v>12</v>
      </c>
      <c r="O33" s="503"/>
      <c r="P33" s="504"/>
      <c r="Q33" s="504"/>
    </row>
    <row r="34" spans="1:17" s="172" customFormat="1" ht="30" customHeight="1" x14ac:dyDescent="0.2">
      <c r="A34" s="164">
        <v>2</v>
      </c>
      <c r="B34" s="173" t="str">
        <f t="shared" ref="B34:B46" si="2">B15</f>
        <v>RUA MARIA DE LOURDES VIEIRA</v>
      </c>
      <c r="C34" s="174"/>
      <c r="D34" s="174"/>
      <c r="E34" s="174"/>
      <c r="F34" s="174"/>
      <c r="G34" s="174"/>
      <c r="H34" s="174"/>
      <c r="I34" s="174"/>
      <c r="J34" s="176">
        <v>8</v>
      </c>
      <c r="K34" s="185">
        <v>15</v>
      </c>
      <c r="L34" s="186">
        <v>0.1</v>
      </c>
      <c r="M34" s="178">
        <f t="shared" ref="M34:M46" si="3">K34*J34</f>
        <v>120</v>
      </c>
      <c r="N34" s="178">
        <f t="shared" si="1"/>
        <v>12</v>
      </c>
      <c r="O34" s="503"/>
      <c r="P34" s="504"/>
      <c r="Q34" s="504"/>
    </row>
    <row r="35" spans="1:17" s="172" customFormat="1" ht="30" customHeight="1" x14ac:dyDescent="0.2">
      <c r="A35" s="164">
        <v>3</v>
      </c>
      <c r="B35" s="173" t="str">
        <f t="shared" si="2"/>
        <v>AV. JUVENTINO CIPRIANO DA EXALTAÇÃO</v>
      </c>
      <c r="C35" s="174"/>
      <c r="D35" s="174"/>
      <c r="E35" s="174"/>
      <c r="F35" s="174"/>
      <c r="G35" s="174"/>
      <c r="H35" s="174"/>
      <c r="I35" s="174"/>
      <c r="J35" s="176">
        <v>0</v>
      </c>
      <c r="K35" s="185">
        <v>15</v>
      </c>
      <c r="L35" s="186">
        <v>0.1</v>
      </c>
      <c r="M35" s="178">
        <f t="shared" si="3"/>
        <v>0</v>
      </c>
      <c r="N35" s="178">
        <f t="shared" si="1"/>
        <v>0</v>
      </c>
      <c r="O35" s="503"/>
      <c r="P35" s="504"/>
      <c r="Q35" s="504"/>
    </row>
    <row r="36" spans="1:17" s="172" customFormat="1" ht="30" customHeight="1" x14ac:dyDescent="0.2">
      <c r="A36" s="164">
        <v>4</v>
      </c>
      <c r="B36" s="173" t="str">
        <f t="shared" si="2"/>
        <v>AV. DRº RUI EVANGELISTA DA EXALTAÇÃO</v>
      </c>
      <c r="C36" s="174"/>
      <c r="D36" s="174"/>
      <c r="E36" s="174"/>
      <c r="F36" s="174"/>
      <c r="G36" s="174"/>
      <c r="H36" s="174"/>
      <c r="I36" s="174"/>
      <c r="J36" s="176">
        <v>0</v>
      </c>
      <c r="K36" s="185">
        <v>15</v>
      </c>
      <c r="L36" s="186">
        <v>0.1</v>
      </c>
      <c r="M36" s="178">
        <f t="shared" si="3"/>
        <v>0</v>
      </c>
      <c r="N36" s="178">
        <f t="shared" si="1"/>
        <v>0</v>
      </c>
      <c r="O36" s="503"/>
      <c r="P36" s="504"/>
      <c r="Q36" s="504"/>
    </row>
    <row r="37" spans="1:17" s="172" customFormat="1" ht="30" customHeight="1" x14ac:dyDescent="0.2">
      <c r="A37" s="164">
        <v>5</v>
      </c>
      <c r="B37" s="173" t="str">
        <f t="shared" si="2"/>
        <v>RUA MIRO HENRIQUE VIEIRA FREIRE</v>
      </c>
      <c r="C37" s="174"/>
      <c r="D37" s="174"/>
      <c r="E37" s="174"/>
      <c r="F37" s="174"/>
      <c r="G37" s="174"/>
      <c r="H37" s="174"/>
      <c r="I37" s="174"/>
      <c r="J37" s="176">
        <v>8</v>
      </c>
      <c r="K37" s="185">
        <v>15</v>
      </c>
      <c r="L37" s="186">
        <v>0.1</v>
      </c>
      <c r="M37" s="178">
        <f t="shared" si="3"/>
        <v>120</v>
      </c>
      <c r="N37" s="178">
        <f t="shared" si="1"/>
        <v>12</v>
      </c>
      <c r="O37" s="503"/>
      <c r="P37" s="504"/>
      <c r="Q37" s="504"/>
    </row>
    <row r="38" spans="1:17" s="172" customFormat="1" ht="30" customHeight="1" x14ac:dyDescent="0.2">
      <c r="A38" s="164">
        <v>6</v>
      </c>
      <c r="B38" s="173" t="str">
        <f t="shared" si="2"/>
        <v>RUA MARIA MARTA VIEIRA</v>
      </c>
      <c r="C38" s="174"/>
      <c r="D38" s="174"/>
      <c r="E38" s="174"/>
      <c r="F38" s="174"/>
      <c r="G38" s="174"/>
      <c r="H38" s="174"/>
      <c r="I38" s="174"/>
      <c r="J38" s="176">
        <v>6</v>
      </c>
      <c r="K38" s="185">
        <v>15</v>
      </c>
      <c r="L38" s="186">
        <v>0.1</v>
      </c>
      <c r="M38" s="178">
        <f t="shared" si="3"/>
        <v>90</v>
      </c>
      <c r="N38" s="178">
        <f t="shared" si="1"/>
        <v>9</v>
      </c>
      <c r="O38" s="503"/>
      <c r="P38" s="504"/>
      <c r="Q38" s="504"/>
    </row>
    <row r="39" spans="1:17" s="172" customFormat="1" ht="30" customHeight="1" x14ac:dyDescent="0.2">
      <c r="A39" s="164">
        <v>7</v>
      </c>
      <c r="B39" s="173" t="str">
        <f t="shared" si="2"/>
        <v>AV. DIONITA JUVENAL DA EXALTAÇÃO</v>
      </c>
      <c r="C39" s="174"/>
      <c r="D39" s="174"/>
      <c r="E39" s="174"/>
      <c r="F39" s="174"/>
      <c r="G39" s="174"/>
      <c r="H39" s="174"/>
      <c r="I39" s="174"/>
      <c r="J39" s="176">
        <v>4</v>
      </c>
      <c r="K39" s="185">
        <v>15</v>
      </c>
      <c r="L39" s="186">
        <v>0.1</v>
      </c>
      <c r="M39" s="178">
        <f t="shared" si="3"/>
        <v>60</v>
      </c>
      <c r="N39" s="178">
        <f t="shared" si="1"/>
        <v>6</v>
      </c>
      <c r="O39" s="503"/>
      <c r="P39" s="504"/>
      <c r="Q39" s="504"/>
    </row>
    <row r="40" spans="1:17" s="172" customFormat="1" ht="30" customHeight="1" x14ac:dyDescent="0.2">
      <c r="A40" s="164">
        <v>8</v>
      </c>
      <c r="B40" s="173" t="str">
        <f t="shared" si="2"/>
        <v>AV. EDUARDO VIEIRA</v>
      </c>
      <c r="C40" s="174"/>
      <c r="D40" s="174"/>
      <c r="E40" s="174"/>
      <c r="F40" s="174"/>
      <c r="G40" s="174"/>
      <c r="H40" s="174"/>
      <c r="I40" s="174"/>
      <c r="J40" s="176">
        <v>2</v>
      </c>
      <c r="K40" s="185">
        <v>15</v>
      </c>
      <c r="L40" s="186">
        <v>0.1</v>
      </c>
      <c r="M40" s="178">
        <f t="shared" si="3"/>
        <v>30</v>
      </c>
      <c r="N40" s="178">
        <f t="shared" si="1"/>
        <v>3</v>
      </c>
      <c r="O40" s="503"/>
      <c r="P40" s="504"/>
      <c r="Q40" s="504"/>
    </row>
    <row r="41" spans="1:17" s="172" customFormat="1" ht="30" customHeight="1" x14ac:dyDescent="0.2">
      <c r="A41" s="164">
        <v>9</v>
      </c>
      <c r="B41" s="173" t="str">
        <f t="shared" si="2"/>
        <v>TRAVESSA A</v>
      </c>
      <c r="C41" s="174"/>
      <c r="D41" s="174"/>
      <c r="E41" s="174"/>
      <c r="F41" s="174"/>
      <c r="G41" s="174"/>
      <c r="H41" s="174"/>
      <c r="I41" s="174"/>
      <c r="J41" s="176">
        <v>4</v>
      </c>
      <c r="K41" s="185">
        <v>15</v>
      </c>
      <c r="L41" s="186">
        <v>0.1</v>
      </c>
      <c r="M41" s="178">
        <f t="shared" si="3"/>
        <v>60</v>
      </c>
      <c r="N41" s="178">
        <f t="shared" si="1"/>
        <v>6</v>
      </c>
      <c r="O41" s="503"/>
      <c r="P41" s="504"/>
      <c r="Q41" s="504"/>
    </row>
    <row r="42" spans="1:17" s="172" customFormat="1" ht="30" customHeight="1" x14ac:dyDescent="0.2">
      <c r="A42" s="164">
        <v>10</v>
      </c>
      <c r="B42" s="173" t="str">
        <f t="shared" si="2"/>
        <v>RUA CAETÊ</v>
      </c>
      <c r="C42" s="174"/>
      <c r="D42" s="174"/>
      <c r="E42" s="174"/>
      <c r="F42" s="174"/>
      <c r="G42" s="174"/>
      <c r="H42" s="174"/>
      <c r="I42" s="174"/>
      <c r="J42" s="176">
        <v>2</v>
      </c>
      <c r="K42" s="185">
        <v>15</v>
      </c>
      <c r="L42" s="186">
        <v>0.1</v>
      </c>
      <c r="M42" s="178">
        <f t="shared" si="3"/>
        <v>30</v>
      </c>
      <c r="N42" s="178">
        <f t="shared" si="1"/>
        <v>3</v>
      </c>
      <c r="O42" s="503"/>
      <c r="P42" s="504"/>
      <c r="Q42" s="504"/>
    </row>
    <row r="43" spans="1:17" s="172" customFormat="1" ht="30" customHeight="1" x14ac:dyDescent="0.2">
      <c r="A43" s="164">
        <v>11</v>
      </c>
      <c r="B43" s="173" t="str">
        <f t="shared" si="2"/>
        <v>RUA MARIA MARTA VIEIRA</v>
      </c>
      <c r="C43" s="174"/>
      <c r="D43" s="174"/>
      <c r="E43" s="174"/>
      <c r="F43" s="174"/>
      <c r="G43" s="174"/>
      <c r="H43" s="174"/>
      <c r="I43" s="174"/>
      <c r="J43" s="176">
        <v>8</v>
      </c>
      <c r="K43" s="185">
        <v>15</v>
      </c>
      <c r="L43" s="186">
        <v>0.1</v>
      </c>
      <c r="M43" s="178">
        <f t="shared" si="3"/>
        <v>120</v>
      </c>
      <c r="N43" s="178">
        <f t="shared" si="1"/>
        <v>12</v>
      </c>
      <c r="O43" s="503"/>
      <c r="P43" s="504"/>
      <c r="Q43" s="504"/>
    </row>
    <row r="44" spans="1:17" s="172" customFormat="1" ht="30" customHeight="1" x14ac:dyDescent="0.2">
      <c r="A44" s="164">
        <v>12</v>
      </c>
      <c r="B44" s="173" t="str">
        <f t="shared" si="2"/>
        <v>RUA 02</v>
      </c>
      <c r="C44" s="174"/>
      <c r="D44" s="174"/>
      <c r="E44" s="174"/>
      <c r="F44" s="174"/>
      <c r="G44" s="174"/>
      <c r="H44" s="174"/>
      <c r="I44" s="174"/>
      <c r="J44" s="176">
        <v>2</v>
      </c>
      <c r="K44" s="185">
        <v>15</v>
      </c>
      <c r="L44" s="186">
        <v>0.1</v>
      </c>
      <c r="M44" s="178">
        <f t="shared" si="3"/>
        <v>30</v>
      </c>
      <c r="N44" s="178">
        <f t="shared" si="1"/>
        <v>3</v>
      </c>
      <c r="O44" s="503"/>
      <c r="P44" s="504"/>
      <c r="Q44" s="504"/>
    </row>
    <row r="45" spans="1:17" s="172" customFormat="1" ht="30" customHeight="1" x14ac:dyDescent="0.2">
      <c r="A45" s="164">
        <v>13</v>
      </c>
      <c r="B45" s="173" t="str">
        <f t="shared" si="2"/>
        <v>RUA E</v>
      </c>
      <c r="C45" s="174"/>
      <c r="D45" s="174"/>
      <c r="E45" s="174"/>
      <c r="F45" s="174"/>
      <c r="G45" s="174"/>
      <c r="H45" s="174"/>
      <c r="I45" s="174"/>
      <c r="J45" s="176">
        <v>6</v>
      </c>
      <c r="K45" s="185">
        <v>15</v>
      </c>
      <c r="L45" s="186">
        <v>0.1</v>
      </c>
      <c r="M45" s="178">
        <f t="shared" si="3"/>
        <v>90</v>
      </c>
      <c r="N45" s="178">
        <f t="shared" si="1"/>
        <v>9</v>
      </c>
      <c r="O45" s="503"/>
      <c r="P45" s="504"/>
      <c r="Q45" s="504"/>
    </row>
    <row r="46" spans="1:17" s="172" customFormat="1" ht="30" customHeight="1" x14ac:dyDescent="0.2">
      <c r="A46" s="164">
        <v>14</v>
      </c>
      <c r="B46" s="173" t="str">
        <f t="shared" si="2"/>
        <v>TV ALTO PARAISO</v>
      </c>
      <c r="C46" s="174"/>
      <c r="D46" s="174"/>
      <c r="E46" s="174"/>
      <c r="F46" s="174"/>
      <c r="G46" s="174"/>
      <c r="H46" s="174"/>
      <c r="I46" s="174"/>
      <c r="J46" s="176">
        <v>6</v>
      </c>
      <c r="K46" s="185">
        <v>15</v>
      </c>
      <c r="L46" s="186">
        <v>0.1</v>
      </c>
      <c r="M46" s="178">
        <f t="shared" si="3"/>
        <v>90</v>
      </c>
      <c r="N46" s="178">
        <f t="shared" si="1"/>
        <v>9</v>
      </c>
      <c r="O46" s="503"/>
      <c r="P46" s="504"/>
      <c r="Q46" s="504"/>
    </row>
    <row r="47" spans="1:17" s="179" customFormat="1" ht="20.100000000000001" customHeight="1" x14ac:dyDescent="0.2">
      <c r="A47" s="452" t="s">
        <v>187</v>
      </c>
      <c r="B47" s="453"/>
      <c r="C47" s="453"/>
      <c r="D47" s="453"/>
      <c r="E47" s="453"/>
      <c r="F47" s="453"/>
      <c r="G47" s="453"/>
      <c r="H47" s="453"/>
      <c r="I47" s="453"/>
      <c r="J47" s="453"/>
      <c r="K47" s="453"/>
      <c r="L47" s="453"/>
      <c r="M47" s="156">
        <f>SUM(M33:M46)</f>
        <v>960</v>
      </c>
      <c r="N47" s="156">
        <f>SUM(N33:N46)</f>
        <v>96</v>
      </c>
      <c r="O47" s="505"/>
      <c r="P47" s="506"/>
      <c r="Q47" s="506"/>
    </row>
    <row r="48" spans="1:17" s="179" customFormat="1" ht="20.100000000000001" customHeight="1" x14ac:dyDescent="0.2">
      <c r="A48" s="180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2"/>
      <c r="O48" s="183"/>
      <c r="P48" s="183"/>
      <c r="Q48" s="183"/>
    </row>
    <row r="49" spans="1:17" s="165" customFormat="1" ht="15.75" x14ac:dyDescent="0.2">
      <c r="A49" s="166" t="s">
        <v>248</v>
      </c>
      <c r="B49" s="167" t="s">
        <v>255</v>
      </c>
      <c r="C49" s="167"/>
      <c r="D49" s="167"/>
      <c r="E49" s="167"/>
      <c r="F49" s="167"/>
      <c r="G49" s="168"/>
      <c r="H49" s="169"/>
      <c r="I49" s="167"/>
      <c r="J49" s="168"/>
      <c r="K49" s="169"/>
      <c r="L49" s="169"/>
      <c r="M49" s="169"/>
      <c r="N49" s="169"/>
      <c r="O49" s="169"/>
      <c r="P49" s="169"/>
      <c r="Q49" s="170"/>
    </row>
    <row r="50" spans="1:17" s="172" customFormat="1" ht="12.75" customHeight="1" x14ac:dyDescent="0.2">
      <c r="A50" s="416" t="s">
        <v>90</v>
      </c>
      <c r="B50" s="446" t="s">
        <v>177</v>
      </c>
      <c r="C50" s="447"/>
      <c r="D50" s="447"/>
      <c r="E50" s="447"/>
      <c r="F50" s="493" t="s">
        <v>179</v>
      </c>
      <c r="G50" s="494"/>
      <c r="H50" s="494"/>
      <c r="I50" s="493" t="s">
        <v>250</v>
      </c>
      <c r="J50" s="494"/>
      <c r="K50" s="495"/>
      <c r="L50" s="171" t="s">
        <v>181</v>
      </c>
      <c r="M50" s="189" t="s">
        <v>251</v>
      </c>
      <c r="N50" s="190"/>
      <c r="O50" s="190"/>
      <c r="P50" s="191"/>
      <c r="Q50" s="192"/>
    </row>
    <row r="51" spans="1:17" s="172" customFormat="1" ht="12.75" x14ac:dyDescent="0.2">
      <c r="A51" s="417"/>
      <c r="B51" s="420"/>
      <c r="C51" s="421"/>
      <c r="D51" s="421"/>
      <c r="E51" s="421"/>
      <c r="F51" s="496" t="s">
        <v>184</v>
      </c>
      <c r="G51" s="497"/>
      <c r="H51" s="497"/>
      <c r="I51" s="496" t="s">
        <v>184</v>
      </c>
      <c r="J51" s="497"/>
      <c r="K51" s="498"/>
      <c r="L51" s="152" t="s">
        <v>185</v>
      </c>
      <c r="M51" s="193"/>
      <c r="N51" s="194"/>
      <c r="O51" s="194"/>
      <c r="Q51" s="195"/>
    </row>
    <row r="52" spans="1:17" s="172" customFormat="1" ht="30" customHeight="1" x14ac:dyDescent="0.2">
      <c r="A52" s="164">
        <v>1</v>
      </c>
      <c r="B52" s="442" t="str">
        <f>B33</f>
        <v>ALAMEDA DAS GARRINCHAS</v>
      </c>
      <c r="C52" s="443"/>
      <c r="D52" s="443"/>
      <c r="E52" s="443"/>
      <c r="F52" s="481">
        <f>'CÁLCULO DE MEIO-FIO E SARJETA'!I15</f>
        <v>443</v>
      </c>
      <c r="G52" s="482"/>
      <c r="H52" s="483"/>
      <c r="I52" s="478">
        <v>0.1</v>
      </c>
      <c r="J52" s="479"/>
      <c r="K52" s="480"/>
      <c r="L52" s="178">
        <f>I52*F52</f>
        <v>44.300000000000004</v>
      </c>
      <c r="M52" s="193"/>
      <c r="N52" s="194"/>
      <c r="O52" s="194"/>
      <c r="Q52" s="195"/>
    </row>
    <row r="53" spans="1:17" s="172" customFormat="1" ht="30" customHeight="1" x14ac:dyDescent="0.2">
      <c r="A53" s="164">
        <v>2</v>
      </c>
      <c r="B53" s="442" t="str">
        <f t="shared" ref="B53:B65" si="4">B34</f>
        <v>RUA MARIA DE LOURDES VIEIRA</v>
      </c>
      <c r="C53" s="443"/>
      <c r="D53" s="443"/>
      <c r="E53" s="443"/>
      <c r="F53" s="481">
        <f>'CÁLCULO DE MEIO-FIO E SARJETA'!I20</f>
        <v>436.35</v>
      </c>
      <c r="G53" s="482"/>
      <c r="H53" s="483"/>
      <c r="I53" s="478">
        <v>0.1</v>
      </c>
      <c r="J53" s="479"/>
      <c r="K53" s="480"/>
      <c r="L53" s="178">
        <f t="shared" ref="L53:L65" si="5">I53*F53</f>
        <v>43.635000000000005</v>
      </c>
      <c r="M53" s="193"/>
      <c r="N53" s="194"/>
      <c r="O53" s="194"/>
      <c r="Q53" s="195"/>
    </row>
    <row r="54" spans="1:17" s="172" customFormat="1" ht="30" customHeight="1" x14ac:dyDescent="0.2">
      <c r="A54" s="164">
        <v>3</v>
      </c>
      <c r="B54" s="442" t="str">
        <f t="shared" si="4"/>
        <v>AV. JUVENTINO CIPRIANO DA EXALTAÇÃO</v>
      </c>
      <c r="C54" s="443"/>
      <c r="D54" s="443"/>
      <c r="E54" s="443"/>
      <c r="F54" s="481">
        <f>'CÁLCULO DE MEIO-FIO E SARJETA'!I25</f>
        <v>294.52</v>
      </c>
      <c r="G54" s="482"/>
      <c r="H54" s="483"/>
      <c r="I54" s="478">
        <v>0.1</v>
      </c>
      <c r="J54" s="479"/>
      <c r="K54" s="480"/>
      <c r="L54" s="178">
        <f t="shared" si="5"/>
        <v>29.451999999999998</v>
      </c>
      <c r="M54" s="193"/>
      <c r="N54" s="194"/>
      <c r="O54" s="194"/>
      <c r="Q54" s="195"/>
    </row>
    <row r="55" spans="1:17" s="172" customFormat="1" ht="30" customHeight="1" x14ac:dyDescent="0.2">
      <c r="A55" s="164">
        <v>4</v>
      </c>
      <c r="B55" s="442" t="str">
        <f t="shared" si="4"/>
        <v>AV. DRº RUI EVANGELISTA DA EXALTAÇÃO</v>
      </c>
      <c r="C55" s="443"/>
      <c r="D55" s="443"/>
      <c r="E55" s="443"/>
      <c r="F55" s="481">
        <f>'CÁLCULO DE MEIO-FIO E SARJETA'!I30</f>
        <v>460.82000000000005</v>
      </c>
      <c r="G55" s="482"/>
      <c r="H55" s="483"/>
      <c r="I55" s="478">
        <v>0.1</v>
      </c>
      <c r="J55" s="479"/>
      <c r="K55" s="480"/>
      <c r="L55" s="178">
        <f t="shared" si="5"/>
        <v>46.082000000000008</v>
      </c>
      <c r="M55" s="193"/>
      <c r="N55" s="194"/>
      <c r="O55" s="194"/>
      <c r="Q55" s="195"/>
    </row>
    <row r="56" spans="1:17" s="172" customFormat="1" ht="30" customHeight="1" x14ac:dyDescent="0.2">
      <c r="A56" s="164">
        <v>5</v>
      </c>
      <c r="B56" s="442" t="str">
        <f t="shared" si="4"/>
        <v>RUA MIRO HENRIQUE VIEIRA FREIRE</v>
      </c>
      <c r="C56" s="443"/>
      <c r="D56" s="443"/>
      <c r="E56" s="443"/>
      <c r="F56" s="481">
        <f>'CÁLCULO DE MEIO-FIO E SARJETA'!I35</f>
        <v>610.94000000000005</v>
      </c>
      <c r="G56" s="482"/>
      <c r="H56" s="483"/>
      <c r="I56" s="478">
        <v>0.1</v>
      </c>
      <c r="J56" s="479"/>
      <c r="K56" s="480"/>
      <c r="L56" s="178">
        <f t="shared" si="5"/>
        <v>61.094000000000008</v>
      </c>
      <c r="M56" s="193"/>
      <c r="N56" s="194"/>
      <c r="O56" s="194"/>
      <c r="Q56" s="195"/>
    </row>
    <row r="57" spans="1:17" s="172" customFormat="1" ht="30" customHeight="1" x14ac:dyDescent="0.2">
      <c r="A57" s="164">
        <v>6</v>
      </c>
      <c r="B57" s="442" t="str">
        <f t="shared" si="4"/>
        <v>RUA MARIA MARTA VIEIRA</v>
      </c>
      <c r="C57" s="443"/>
      <c r="D57" s="443"/>
      <c r="E57" s="443"/>
      <c r="F57" s="481">
        <f>'CÁLCULO DE MEIO-FIO E SARJETA'!I40</f>
        <v>486.33</v>
      </c>
      <c r="G57" s="482"/>
      <c r="H57" s="483"/>
      <c r="I57" s="478">
        <v>0.1</v>
      </c>
      <c r="J57" s="479"/>
      <c r="K57" s="480"/>
      <c r="L57" s="178">
        <f t="shared" si="5"/>
        <v>48.633000000000003</v>
      </c>
      <c r="M57" s="193"/>
      <c r="N57" s="194"/>
      <c r="O57" s="194"/>
      <c r="Q57" s="195"/>
    </row>
    <row r="58" spans="1:17" s="172" customFormat="1" ht="30" customHeight="1" x14ac:dyDescent="0.2">
      <c r="A58" s="164">
        <v>7</v>
      </c>
      <c r="B58" s="442" t="str">
        <f t="shared" si="4"/>
        <v>AV. DIONITA JUVENAL DA EXALTAÇÃO</v>
      </c>
      <c r="C58" s="443"/>
      <c r="D58" s="443"/>
      <c r="E58" s="443"/>
      <c r="F58" s="481">
        <f>'CÁLCULO DE MEIO-FIO E SARJETA'!I45</f>
        <v>139.06</v>
      </c>
      <c r="G58" s="482"/>
      <c r="H58" s="483"/>
      <c r="I58" s="478">
        <v>0.1</v>
      </c>
      <c r="J58" s="479"/>
      <c r="K58" s="480"/>
      <c r="L58" s="178">
        <f t="shared" si="5"/>
        <v>13.906000000000001</v>
      </c>
      <c r="M58" s="193"/>
      <c r="N58" s="194"/>
      <c r="O58" s="194"/>
      <c r="Q58" s="195"/>
    </row>
    <row r="59" spans="1:17" s="172" customFormat="1" ht="30" customHeight="1" x14ac:dyDescent="0.2">
      <c r="A59" s="164">
        <v>8</v>
      </c>
      <c r="B59" s="442" t="str">
        <f t="shared" si="4"/>
        <v>AV. EDUARDO VIEIRA</v>
      </c>
      <c r="C59" s="443"/>
      <c r="D59" s="443"/>
      <c r="E59" s="443"/>
      <c r="F59" s="481">
        <f>'CÁLCULO DE MEIO-FIO E SARJETA'!I50</f>
        <v>313.64</v>
      </c>
      <c r="G59" s="482"/>
      <c r="H59" s="483"/>
      <c r="I59" s="478">
        <v>0.1</v>
      </c>
      <c r="J59" s="479"/>
      <c r="K59" s="480"/>
      <c r="L59" s="178">
        <f t="shared" si="5"/>
        <v>31.364000000000001</v>
      </c>
      <c r="M59" s="193"/>
      <c r="N59" s="194"/>
      <c r="O59" s="194"/>
      <c r="Q59" s="195"/>
    </row>
    <row r="60" spans="1:17" s="172" customFormat="1" ht="30" customHeight="1" x14ac:dyDescent="0.2">
      <c r="A60" s="164">
        <v>9</v>
      </c>
      <c r="B60" s="442" t="str">
        <f t="shared" si="4"/>
        <v>TRAVESSA A</v>
      </c>
      <c r="C60" s="443"/>
      <c r="D60" s="443"/>
      <c r="E60" s="443"/>
      <c r="F60" s="481">
        <f>'CÁLCULO DE MEIO-FIO E SARJETA'!I55</f>
        <v>207.94</v>
      </c>
      <c r="G60" s="482"/>
      <c r="H60" s="483"/>
      <c r="I60" s="478">
        <v>0.1</v>
      </c>
      <c r="J60" s="479"/>
      <c r="K60" s="480"/>
      <c r="L60" s="178">
        <f t="shared" si="5"/>
        <v>20.794</v>
      </c>
      <c r="M60" s="193"/>
      <c r="N60" s="194"/>
      <c r="O60" s="194"/>
      <c r="Q60" s="195"/>
    </row>
    <row r="61" spans="1:17" s="172" customFormat="1" ht="30" customHeight="1" x14ac:dyDescent="0.2">
      <c r="A61" s="164">
        <v>10</v>
      </c>
      <c r="B61" s="442" t="str">
        <f t="shared" si="4"/>
        <v>RUA CAETÊ</v>
      </c>
      <c r="C61" s="443"/>
      <c r="D61" s="443"/>
      <c r="E61" s="443"/>
      <c r="F61" s="481">
        <f>'CÁLCULO DE MEIO-FIO E SARJETA'!I60</f>
        <v>358.3</v>
      </c>
      <c r="G61" s="482"/>
      <c r="H61" s="483"/>
      <c r="I61" s="478">
        <v>0.1</v>
      </c>
      <c r="J61" s="479"/>
      <c r="K61" s="480"/>
      <c r="L61" s="178">
        <f t="shared" si="5"/>
        <v>35.830000000000005</v>
      </c>
      <c r="M61" s="193"/>
      <c r="N61" s="194"/>
      <c r="O61" s="194"/>
      <c r="Q61" s="195"/>
    </row>
    <row r="62" spans="1:17" s="172" customFormat="1" ht="30" customHeight="1" x14ac:dyDescent="0.2">
      <c r="A62" s="164">
        <v>11</v>
      </c>
      <c r="B62" s="442" t="str">
        <f t="shared" si="4"/>
        <v>RUA MARIA MARTA VIEIRA</v>
      </c>
      <c r="C62" s="443"/>
      <c r="D62" s="443"/>
      <c r="E62" s="443"/>
      <c r="F62" s="481">
        <f>'CÁLCULO DE MEIO-FIO E SARJETA'!I65</f>
        <v>791.77</v>
      </c>
      <c r="G62" s="482"/>
      <c r="H62" s="483"/>
      <c r="I62" s="478">
        <v>0.1</v>
      </c>
      <c r="J62" s="479"/>
      <c r="K62" s="480"/>
      <c r="L62" s="178">
        <f t="shared" si="5"/>
        <v>79.177000000000007</v>
      </c>
      <c r="M62" s="193"/>
      <c r="N62" s="194"/>
      <c r="O62" s="194"/>
      <c r="Q62" s="195"/>
    </row>
    <row r="63" spans="1:17" s="172" customFormat="1" ht="30" customHeight="1" x14ac:dyDescent="0.2">
      <c r="A63" s="164">
        <v>12</v>
      </c>
      <c r="B63" s="442" t="str">
        <f t="shared" si="4"/>
        <v>RUA 02</v>
      </c>
      <c r="C63" s="443"/>
      <c r="D63" s="443"/>
      <c r="E63" s="443"/>
      <c r="F63" s="481">
        <f>'CÁLCULO DE MEIO-FIO E SARJETA'!I70</f>
        <v>227.02</v>
      </c>
      <c r="G63" s="482"/>
      <c r="H63" s="483"/>
      <c r="I63" s="478">
        <v>0.1</v>
      </c>
      <c r="J63" s="479"/>
      <c r="K63" s="480"/>
      <c r="L63" s="178">
        <f t="shared" si="5"/>
        <v>22.702000000000002</v>
      </c>
      <c r="M63" s="193"/>
      <c r="N63" s="194"/>
      <c r="O63" s="194"/>
      <c r="Q63" s="195"/>
    </row>
    <row r="64" spans="1:17" s="172" customFormat="1" ht="30" customHeight="1" x14ac:dyDescent="0.2">
      <c r="A64" s="164">
        <v>13</v>
      </c>
      <c r="B64" s="442" t="str">
        <f t="shared" si="4"/>
        <v>RUA E</v>
      </c>
      <c r="C64" s="443"/>
      <c r="D64" s="443"/>
      <c r="E64" s="443"/>
      <c r="F64" s="481">
        <f>'CÁLCULO DE MEIO-FIO E SARJETA'!I75</f>
        <v>408.87</v>
      </c>
      <c r="G64" s="482"/>
      <c r="H64" s="483"/>
      <c r="I64" s="478">
        <v>0.1</v>
      </c>
      <c r="J64" s="479"/>
      <c r="K64" s="480"/>
      <c r="L64" s="178">
        <f t="shared" si="5"/>
        <v>40.887</v>
      </c>
      <c r="M64" s="193"/>
      <c r="N64" s="194"/>
      <c r="O64" s="194"/>
      <c r="Q64" s="195"/>
    </row>
    <row r="65" spans="1:17" s="172" customFormat="1" ht="30" customHeight="1" x14ac:dyDescent="0.2">
      <c r="A65" s="164">
        <v>14</v>
      </c>
      <c r="B65" s="442" t="str">
        <f t="shared" si="4"/>
        <v>TV ALTO PARAISO</v>
      </c>
      <c r="C65" s="443"/>
      <c r="D65" s="443"/>
      <c r="E65" s="443"/>
      <c r="F65" s="481">
        <f>'CÁLCULO DE MEIO-FIO E SARJETA'!I80</f>
        <v>183.23</v>
      </c>
      <c r="G65" s="482"/>
      <c r="H65" s="483"/>
      <c r="I65" s="478">
        <v>0.1</v>
      </c>
      <c r="J65" s="479"/>
      <c r="K65" s="480"/>
      <c r="L65" s="178">
        <f t="shared" si="5"/>
        <v>18.323</v>
      </c>
      <c r="M65" s="193"/>
      <c r="N65" s="194"/>
      <c r="O65" s="194"/>
      <c r="Q65" s="195"/>
    </row>
    <row r="66" spans="1:17" s="179" customFormat="1" ht="20.100000000000001" customHeight="1" x14ac:dyDescent="0.2">
      <c r="A66" s="452" t="s">
        <v>187</v>
      </c>
      <c r="B66" s="453"/>
      <c r="C66" s="453"/>
      <c r="D66" s="453"/>
      <c r="E66" s="453"/>
      <c r="F66" s="487">
        <f>SUM(F52:F65)</f>
        <v>5361.79</v>
      </c>
      <c r="G66" s="487"/>
      <c r="H66" s="487"/>
      <c r="I66" s="225"/>
      <c r="J66" s="225"/>
      <c r="K66" s="225"/>
      <c r="L66" s="156">
        <f>SUM(L52:L65)</f>
        <v>536.17899999999997</v>
      </c>
      <c r="M66" s="196"/>
      <c r="N66" s="197"/>
      <c r="O66" s="197"/>
      <c r="P66" s="198"/>
      <c r="Q66" s="199"/>
    </row>
    <row r="67" spans="1:17" x14ac:dyDescent="0.25">
      <c r="H67" s="187"/>
      <c r="K67" s="187"/>
      <c r="L67" s="187"/>
      <c r="M67" s="187"/>
      <c r="N67" s="187"/>
      <c r="O67" s="187"/>
      <c r="P67" s="187"/>
      <c r="Q67" s="187"/>
    </row>
    <row r="68" spans="1:17" s="165" customFormat="1" ht="15.75" x14ac:dyDescent="0.2">
      <c r="A68" s="166" t="s">
        <v>248</v>
      </c>
      <c r="B68" s="167" t="s">
        <v>256</v>
      </c>
      <c r="C68" s="167"/>
      <c r="D68" s="167"/>
      <c r="E68" s="167"/>
      <c r="F68" s="167"/>
      <c r="G68" s="168"/>
      <c r="H68" s="169"/>
      <c r="I68" s="167"/>
      <c r="J68" s="168"/>
      <c r="K68" s="169"/>
      <c r="L68" s="169"/>
      <c r="M68" s="169"/>
      <c r="N68" s="169"/>
      <c r="O68" s="169"/>
      <c r="P68" s="169"/>
      <c r="Q68" s="170"/>
    </row>
    <row r="69" spans="1:17" s="172" customFormat="1" ht="12.75" customHeight="1" x14ac:dyDescent="0.2">
      <c r="A69" s="416" t="s">
        <v>90</v>
      </c>
      <c r="B69" s="446" t="s">
        <v>177</v>
      </c>
      <c r="C69" s="447"/>
      <c r="D69" s="447"/>
      <c r="E69" s="447"/>
      <c r="F69" s="493" t="s">
        <v>179</v>
      </c>
      <c r="G69" s="494"/>
      <c r="H69" s="494"/>
      <c r="I69" s="493" t="s">
        <v>250</v>
      </c>
      <c r="J69" s="494"/>
      <c r="K69" s="150" t="s">
        <v>253</v>
      </c>
      <c r="L69" s="171" t="s">
        <v>181</v>
      </c>
      <c r="M69" s="189" t="s">
        <v>251</v>
      </c>
      <c r="N69" s="190"/>
      <c r="O69" s="190"/>
      <c r="P69" s="191"/>
      <c r="Q69" s="192"/>
    </row>
    <row r="70" spans="1:17" s="172" customFormat="1" ht="12.75" x14ac:dyDescent="0.2">
      <c r="A70" s="417"/>
      <c r="B70" s="420"/>
      <c r="C70" s="421"/>
      <c r="D70" s="421"/>
      <c r="E70" s="421"/>
      <c r="F70" s="496" t="s">
        <v>184</v>
      </c>
      <c r="G70" s="497"/>
      <c r="H70" s="497"/>
      <c r="I70" s="496" t="s">
        <v>184</v>
      </c>
      <c r="J70" s="497"/>
      <c r="K70" s="152" t="s">
        <v>254</v>
      </c>
      <c r="L70" s="152" t="s">
        <v>185</v>
      </c>
      <c r="M70" s="193"/>
      <c r="N70" s="194"/>
      <c r="O70" s="194"/>
      <c r="Q70" s="195"/>
    </row>
    <row r="71" spans="1:17" s="172" customFormat="1" ht="30" customHeight="1" x14ac:dyDescent="0.2">
      <c r="A71" s="164">
        <v>1</v>
      </c>
      <c r="B71" s="216" t="str">
        <f>B52</f>
        <v>ALAMEDA DAS GARRINCHAS</v>
      </c>
      <c r="C71" s="217"/>
      <c r="D71" s="217"/>
      <c r="E71" s="217"/>
      <c r="F71" s="478">
        <v>3.5</v>
      </c>
      <c r="G71" s="479"/>
      <c r="H71" s="480"/>
      <c r="I71" s="478">
        <v>0.4</v>
      </c>
      <c r="J71" s="479"/>
      <c r="K71" s="202">
        <v>4</v>
      </c>
      <c r="L71" s="178">
        <f>K71*I71*F71</f>
        <v>5.6000000000000005</v>
      </c>
      <c r="M71" s="193"/>
      <c r="N71" s="194"/>
      <c r="O71" s="194"/>
      <c r="Q71" s="195"/>
    </row>
    <row r="72" spans="1:17" s="172" customFormat="1" ht="30" customHeight="1" x14ac:dyDescent="0.2">
      <c r="A72" s="164">
        <v>2</v>
      </c>
      <c r="B72" s="216" t="str">
        <f t="shared" ref="B72:B84" si="6">B53</f>
        <v>RUA MARIA DE LOURDES VIEIRA</v>
      </c>
      <c r="C72" s="217"/>
      <c r="D72" s="217"/>
      <c r="E72" s="217"/>
      <c r="F72" s="478">
        <v>3.5</v>
      </c>
      <c r="G72" s="479"/>
      <c r="H72" s="480"/>
      <c r="I72" s="478">
        <v>0.4</v>
      </c>
      <c r="J72" s="479"/>
      <c r="K72" s="202">
        <v>4</v>
      </c>
      <c r="L72" s="178">
        <f t="shared" ref="L72:L84" si="7">K72*I72*F72</f>
        <v>5.6000000000000005</v>
      </c>
      <c r="M72" s="193"/>
      <c r="N72" s="194"/>
      <c r="O72" s="194"/>
      <c r="Q72" s="195"/>
    </row>
    <row r="73" spans="1:17" s="172" customFormat="1" ht="30" customHeight="1" x14ac:dyDescent="0.2">
      <c r="A73" s="164">
        <v>3</v>
      </c>
      <c r="B73" s="216" t="str">
        <f t="shared" si="6"/>
        <v>AV. JUVENTINO CIPRIANO DA EXALTAÇÃO</v>
      </c>
      <c r="C73" s="217"/>
      <c r="D73" s="217"/>
      <c r="E73" s="217"/>
      <c r="F73" s="478">
        <v>3.5</v>
      </c>
      <c r="G73" s="479"/>
      <c r="H73" s="480"/>
      <c r="I73" s="478">
        <v>0.4</v>
      </c>
      <c r="J73" s="479"/>
      <c r="K73" s="202">
        <v>0</v>
      </c>
      <c r="L73" s="178">
        <f t="shared" si="7"/>
        <v>0</v>
      </c>
      <c r="M73" s="193"/>
      <c r="N73" s="194"/>
      <c r="O73" s="194"/>
      <c r="Q73" s="195"/>
    </row>
    <row r="74" spans="1:17" s="172" customFormat="1" ht="30" customHeight="1" x14ac:dyDescent="0.2">
      <c r="A74" s="164">
        <v>4</v>
      </c>
      <c r="B74" s="216" t="str">
        <f t="shared" si="6"/>
        <v>AV. DRº RUI EVANGELISTA DA EXALTAÇÃO</v>
      </c>
      <c r="C74" s="217"/>
      <c r="D74" s="217"/>
      <c r="E74" s="217"/>
      <c r="F74" s="478">
        <v>3.5</v>
      </c>
      <c r="G74" s="479"/>
      <c r="H74" s="480"/>
      <c r="I74" s="478">
        <v>0.4</v>
      </c>
      <c r="J74" s="479"/>
      <c r="K74" s="202">
        <v>0</v>
      </c>
      <c r="L74" s="178">
        <f t="shared" si="7"/>
        <v>0</v>
      </c>
      <c r="M74" s="193"/>
      <c r="N74" s="194"/>
      <c r="O74" s="194"/>
      <c r="Q74" s="195"/>
    </row>
    <row r="75" spans="1:17" s="172" customFormat="1" ht="30" customHeight="1" x14ac:dyDescent="0.2">
      <c r="A75" s="164">
        <v>5</v>
      </c>
      <c r="B75" s="216" t="str">
        <f t="shared" si="6"/>
        <v>RUA MIRO HENRIQUE VIEIRA FREIRE</v>
      </c>
      <c r="C75" s="217"/>
      <c r="D75" s="217"/>
      <c r="E75" s="217"/>
      <c r="F75" s="478">
        <v>3.5</v>
      </c>
      <c r="G75" s="479"/>
      <c r="H75" s="480"/>
      <c r="I75" s="478">
        <v>0.4</v>
      </c>
      <c r="J75" s="479"/>
      <c r="K75" s="202">
        <v>4</v>
      </c>
      <c r="L75" s="178">
        <f t="shared" si="7"/>
        <v>5.6000000000000005</v>
      </c>
      <c r="M75" s="193"/>
      <c r="N75" s="194"/>
      <c r="O75" s="194"/>
      <c r="Q75" s="195"/>
    </row>
    <row r="76" spans="1:17" s="172" customFormat="1" ht="30" customHeight="1" x14ac:dyDescent="0.2">
      <c r="A76" s="164">
        <v>6</v>
      </c>
      <c r="B76" s="216" t="str">
        <f t="shared" si="6"/>
        <v>RUA MARIA MARTA VIEIRA</v>
      </c>
      <c r="C76" s="217"/>
      <c r="D76" s="217"/>
      <c r="E76" s="217"/>
      <c r="F76" s="478">
        <v>3.5</v>
      </c>
      <c r="G76" s="479"/>
      <c r="H76" s="480"/>
      <c r="I76" s="478">
        <v>0.4</v>
      </c>
      <c r="J76" s="479"/>
      <c r="K76" s="202">
        <v>3</v>
      </c>
      <c r="L76" s="178">
        <f t="shared" si="7"/>
        <v>4.2000000000000011</v>
      </c>
      <c r="M76" s="193"/>
      <c r="N76" s="194"/>
      <c r="O76" s="194"/>
      <c r="Q76" s="195"/>
    </row>
    <row r="77" spans="1:17" s="172" customFormat="1" ht="30" customHeight="1" x14ac:dyDescent="0.2">
      <c r="A77" s="164">
        <v>7</v>
      </c>
      <c r="B77" s="216" t="str">
        <f t="shared" si="6"/>
        <v>AV. DIONITA JUVENAL DA EXALTAÇÃO</v>
      </c>
      <c r="C77" s="217"/>
      <c r="D77" s="217"/>
      <c r="E77" s="217"/>
      <c r="F77" s="478">
        <v>3.5</v>
      </c>
      <c r="G77" s="479"/>
      <c r="H77" s="480"/>
      <c r="I77" s="478">
        <v>0.4</v>
      </c>
      <c r="J77" s="479"/>
      <c r="K77" s="202">
        <v>2</v>
      </c>
      <c r="L77" s="178">
        <f t="shared" si="7"/>
        <v>2.8000000000000003</v>
      </c>
      <c r="M77" s="193"/>
      <c r="N77" s="194"/>
      <c r="O77" s="194"/>
      <c r="Q77" s="195"/>
    </row>
    <row r="78" spans="1:17" s="172" customFormat="1" ht="30" customHeight="1" x14ac:dyDescent="0.2">
      <c r="A78" s="164">
        <v>8</v>
      </c>
      <c r="B78" s="216" t="str">
        <f t="shared" si="6"/>
        <v>AV. EDUARDO VIEIRA</v>
      </c>
      <c r="C78" s="217"/>
      <c r="D78" s="217"/>
      <c r="E78" s="217"/>
      <c r="F78" s="478">
        <v>3.5</v>
      </c>
      <c r="G78" s="479"/>
      <c r="H78" s="480"/>
      <c r="I78" s="478">
        <v>0.4</v>
      </c>
      <c r="J78" s="479"/>
      <c r="K78" s="202">
        <v>1</v>
      </c>
      <c r="L78" s="178">
        <f t="shared" si="7"/>
        <v>1.4000000000000001</v>
      </c>
      <c r="M78" s="193"/>
      <c r="N78" s="194"/>
      <c r="O78" s="194"/>
      <c r="Q78" s="195"/>
    </row>
    <row r="79" spans="1:17" s="172" customFormat="1" ht="30" customHeight="1" x14ac:dyDescent="0.2">
      <c r="A79" s="164">
        <v>9</v>
      </c>
      <c r="B79" s="216" t="str">
        <f t="shared" si="6"/>
        <v>TRAVESSA A</v>
      </c>
      <c r="C79" s="217"/>
      <c r="D79" s="217"/>
      <c r="E79" s="217"/>
      <c r="F79" s="478">
        <v>3.5</v>
      </c>
      <c r="G79" s="479"/>
      <c r="H79" s="480"/>
      <c r="I79" s="478">
        <v>0.4</v>
      </c>
      <c r="J79" s="479"/>
      <c r="K79" s="202">
        <v>2</v>
      </c>
      <c r="L79" s="178">
        <f t="shared" si="7"/>
        <v>2.8000000000000003</v>
      </c>
      <c r="M79" s="193"/>
      <c r="N79" s="194"/>
      <c r="O79" s="194"/>
      <c r="Q79" s="195"/>
    </row>
    <row r="80" spans="1:17" s="172" customFormat="1" ht="30" customHeight="1" x14ac:dyDescent="0.2">
      <c r="A80" s="164">
        <v>10</v>
      </c>
      <c r="B80" s="216" t="str">
        <f t="shared" si="6"/>
        <v>RUA CAETÊ</v>
      </c>
      <c r="C80" s="217"/>
      <c r="D80" s="217"/>
      <c r="E80" s="217"/>
      <c r="F80" s="478">
        <v>3.5</v>
      </c>
      <c r="G80" s="479"/>
      <c r="H80" s="480"/>
      <c r="I80" s="478">
        <v>0.4</v>
      </c>
      <c r="J80" s="479"/>
      <c r="K80" s="202">
        <v>1</v>
      </c>
      <c r="L80" s="178">
        <f t="shared" si="7"/>
        <v>1.4000000000000001</v>
      </c>
      <c r="M80" s="193"/>
      <c r="N80" s="194"/>
      <c r="O80" s="194"/>
      <c r="Q80" s="195"/>
    </row>
    <row r="81" spans="1:17" s="172" customFormat="1" ht="30" customHeight="1" x14ac:dyDescent="0.2">
      <c r="A81" s="164">
        <v>11</v>
      </c>
      <c r="B81" s="216" t="str">
        <f t="shared" si="6"/>
        <v>RUA MARIA MARTA VIEIRA</v>
      </c>
      <c r="C81" s="217"/>
      <c r="D81" s="217"/>
      <c r="E81" s="217"/>
      <c r="F81" s="478">
        <v>3.5</v>
      </c>
      <c r="G81" s="479"/>
      <c r="H81" s="480"/>
      <c r="I81" s="478">
        <v>0.4</v>
      </c>
      <c r="J81" s="479"/>
      <c r="K81" s="202">
        <v>4</v>
      </c>
      <c r="L81" s="178">
        <f t="shared" si="7"/>
        <v>5.6000000000000005</v>
      </c>
      <c r="M81" s="193"/>
      <c r="N81" s="194"/>
      <c r="O81" s="194"/>
      <c r="Q81" s="195"/>
    </row>
    <row r="82" spans="1:17" s="172" customFormat="1" ht="30" customHeight="1" x14ac:dyDescent="0.2">
      <c r="A82" s="164">
        <v>12</v>
      </c>
      <c r="B82" s="216" t="str">
        <f t="shared" si="6"/>
        <v>RUA 02</v>
      </c>
      <c r="C82" s="217"/>
      <c r="D82" s="217"/>
      <c r="E82" s="217"/>
      <c r="F82" s="478">
        <v>3.5</v>
      </c>
      <c r="G82" s="479"/>
      <c r="H82" s="480"/>
      <c r="I82" s="478">
        <v>0.4</v>
      </c>
      <c r="J82" s="479"/>
      <c r="K82" s="202">
        <v>1</v>
      </c>
      <c r="L82" s="178">
        <f t="shared" si="7"/>
        <v>1.4000000000000001</v>
      </c>
      <c r="M82" s="193"/>
      <c r="N82" s="194"/>
      <c r="O82" s="194"/>
      <c r="Q82" s="195"/>
    </row>
    <row r="83" spans="1:17" s="172" customFormat="1" ht="30" customHeight="1" x14ac:dyDescent="0.2">
      <c r="A83" s="164">
        <v>13</v>
      </c>
      <c r="B83" s="216" t="str">
        <f t="shared" si="6"/>
        <v>RUA E</v>
      </c>
      <c r="C83" s="217"/>
      <c r="D83" s="217"/>
      <c r="E83" s="217"/>
      <c r="F83" s="478">
        <v>3.5</v>
      </c>
      <c r="G83" s="479"/>
      <c r="H83" s="480"/>
      <c r="I83" s="478">
        <v>0.4</v>
      </c>
      <c r="J83" s="479"/>
      <c r="K83" s="202">
        <v>3</v>
      </c>
      <c r="L83" s="178">
        <f t="shared" si="7"/>
        <v>4.2000000000000011</v>
      </c>
      <c r="M83" s="193"/>
      <c r="N83" s="194"/>
      <c r="O83" s="194"/>
      <c r="Q83" s="195"/>
    </row>
    <row r="84" spans="1:17" s="172" customFormat="1" ht="30" customHeight="1" x14ac:dyDescent="0.2">
      <c r="A84" s="164">
        <v>14</v>
      </c>
      <c r="B84" s="216" t="str">
        <f t="shared" si="6"/>
        <v>TV ALTO PARAISO</v>
      </c>
      <c r="C84" s="217"/>
      <c r="D84" s="217"/>
      <c r="E84" s="217"/>
      <c r="F84" s="478">
        <v>3.5</v>
      </c>
      <c r="G84" s="479"/>
      <c r="H84" s="480"/>
      <c r="I84" s="478">
        <v>0.4</v>
      </c>
      <c r="J84" s="479"/>
      <c r="K84" s="202">
        <v>3</v>
      </c>
      <c r="L84" s="178">
        <f t="shared" si="7"/>
        <v>4.2000000000000011</v>
      </c>
      <c r="M84" s="193"/>
      <c r="N84" s="194"/>
      <c r="O84" s="194"/>
      <c r="Q84" s="195"/>
    </row>
    <row r="85" spans="1:17" s="179" customFormat="1" ht="20.100000000000001" customHeight="1" x14ac:dyDescent="0.2">
      <c r="A85" s="452" t="s">
        <v>187</v>
      </c>
      <c r="B85" s="453"/>
      <c r="C85" s="453"/>
      <c r="D85" s="453"/>
      <c r="E85" s="453"/>
      <c r="F85" s="453"/>
      <c r="G85" s="453"/>
      <c r="H85" s="453"/>
      <c r="I85" s="453"/>
      <c r="J85" s="453"/>
      <c r="K85" s="453"/>
      <c r="L85" s="156">
        <f>SUM(L71:L84)</f>
        <v>44.800000000000004</v>
      </c>
      <c r="M85" s="196"/>
      <c r="N85" s="197"/>
      <c r="O85" s="197"/>
      <c r="P85" s="198"/>
      <c r="Q85" s="199"/>
    </row>
    <row r="86" spans="1:17" s="179" customFormat="1" ht="20.100000000000001" customHeight="1" x14ac:dyDescent="0.25">
      <c r="A86" s="200"/>
      <c r="B86" s="200"/>
      <c r="C86" s="200"/>
      <c r="D86" s="200"/>
      <c r="E86" s="200"/>
      <c r="F86" s="200"/>
      <c r="G86" s="201"/>
      <c r="H86" s="187"/>
      <c r="I86" s="200"/>
      <c r="J86" s="201"/>
      <c r="K86" s="187"/>
      <c r="L86" s="187"/>
      <c r="M86" s="187"/>
      <c r="N86" s="187"/>
      <c r="O86" s="187"/>
      <c r="P86" s="187"/>
      <c r="Q86" s="187"/>
    </row>
    <row r="87" spans="1:17" s="165" customFormat="1" ht="15.75" x14ac:dyDescent="0.2">
      <c r="A87" s="166" t="s">
        <v>248</v>
      </c>
      <c r="B87" s="167" t="s">
        <v>257</v>
      </c>
      <c r="C87" s="167"/>
      <c r="D87" s="167"/>
      <c r="E87" s="167"/>
      <c r="F87" s="167"/>
      <c r="G87" s="168"/>
      <c r="H87" s="169"/>
      <c r="I87" s="167"/>
      <c r="J87" s="168"/>
      <c r="K87" s="169"/>
      <c r="L87" s="169"/>
      <c r="M87" s="169"/>
      <c r="N87" s="169"/>
      <c r="O87" s="169"/>
      <c r="P87" s="169"/>
      <c r="Q87" s="170"/>
    </row>
    <row r="88" spans="1:17" s="172" customFormat="1" ht="12.75" customHeight="1" x14ac:dyDescent="0.2">
      <c r="A88" s="416" t="s">
        <v>90</v>
      </c>
      <c r="B88" s="418" t="s">
        <v>177</v>
      </c>
      <c r="C88" s="419"/>
      <c r="D88" s="171" t="s">
        <v>74</v>
      </c>
      <c r="E88" s="171" t="s">
        <v>250</v>
      </c>
      <c r="F88" s="493" t="s">
        <v>258</v>
      </c>
      <c r="G88" s="494"/>
      <c r="H88" s="494"/>
      <c r="I88" s="493" t="s">
        <v>259</v>
      </c>
      <c r="J88" s="494"/>
      <c r="K88" s="495"/>
      <c r="L88" s="171" t="s">
        <v>181</v>
      </c>
      <c r="M88" s="189" t="s">
        <v>251</v>
      </c>
      <c r="N88" s="190"/>
      <c r="O88" s="190"/>
      <c r="P88" s="191"/>
      <c r="Q88" s="192"/>
    </row>
    <row r="89" spans="1:17" s="172" customFormat="1" ht="12.75" x14ac:dyDescent="0.2">
      <c r="A89" s="417"/>
      <c r="B89" s="420"/>
      <c r="C89" s="421"/>
      <c r="D89" s="152" t="s">
        <v>254</v>
      </c>
      <c r="E89" s="152" t="s">
        <v>184</v>
      </c>
      <c r="F89" s="496" t="s">
        <v>184</v>
      </c>
      <c r="G89" s="497"/>
      <c r="H89" s="497"/>
      <c r="I89" s="496" t="s">
        <v>184</v>
      </c>
      <c r="J89" s="497"/>
      <c r="K89" s="498"/>
      <c r="L89" s="152" t="s">
        <v>185</v>
      </c>
      <c r="M89" s="193"/>
      <c r="N89" s="194"/>
      <c r="O89" s="194"/>
      <c r="Q89" s="195"/>
    </row>
    <row r="90" spans="1:17" s="172" customFormat="1" ht="30" customHeight="1" x14ac:dyDescent="0.2">
      <c r="A90" s="164">
        <v>1</v>
      </c>
      <c r="B90" s="499" t="str">
        <f>B71</f>
        <v>ALAMEDA DAS GARRINCHAS</v>
      </c>
      <c r="C90" s="500"/>
      <c r="D90" s="176">
        <v>0</v>
      </c>
      <c r="E90" s="188">
        <v>0.4</v>
      </c>
      <c r="F90" s="478">
        <v>4</v>
      </c>
      <c r="G90" s="479"/>
      <c r="H90" s="480"/>
      <c r="I90" s="478">
        <v>0.6</v>
      </c>
      <c r="J90" s="479"/>
      <c r="K90" s="480"/>
      <c r="L90" s="178">
        <f>D90*E90*F90</f>
        <v>0</v>
      </c>
      <c r="M90" s="193"/>
      <c r="N90" s="194"/>
      <c r="O90" s="194"/>
      <c r="Q90" s="195"/>
    </row>
    <row r="91" spans="1:17" s="172" customFormat="1" ht="30" customHeight="1" x14ac:dyDescent="0.2">
      <c r="A91" s="164">
        <v>2</v>
      </c>
      <c r="B91" s="499" t="str">
        <f t="shared" ref="B91:B103" si="8">B72</f>
        <v>RUA MARIA DE LOURDES VIEIRA</v>
      </c>
      <c r="C91" s="500"/>
      <c r="D91" s="176">
        <v>0</v>
      </c>
      <c r="E91" s="188">
        <v>0.4</v>
      </c>
      <c r="F91" s="478">
        <v>4</v>
      </c>
      <c r="G91" s="479"/>
      <c r="H91" s="480"/>
      <c r="I91" s="478">
        <v>0.6</v>
      </c>
      <c r="J91" s="479"/>
      <c r="K91" s="480"/>
      <c r="L91" s="178">
        <f t="shared" ref="L91:L103" si="9">D91*E91*F91</f>
        <v>0</v>
      </c>
      <c r="M91" s="193"/>
      <c r="N91" s="194"/>
      <c r="O91" s="194"/>
      <c r="Q91" s="195"/>
    </row>
    <row r="92" spans="1:17" s="172" customFormat="1" ht="30" customHeight="1" x14ac:dyDescent="0.2">
      <c r="A92" s="164">
        <v>3</v>
      </c>
      <c r="B92" s="499" t="str">
        <f t="shared" si="8"/>
        <v>AV. JUVENTINO CIPRIANO DA EXALTAÇÃO</v>
      </c>
      <c r="C92" s="500"/>
      <c r="D92" s="176">
        <v>0</v>
      </c>
      <c r="E92" s="188">
        <v>0.4</v>
      </c>
      <c r="F92" s="478">
        <v>4</v>
      </c>
      <c r="G92" s="479"/>
      <c r="H92" s="480"/>
      <c r="I92" s="478">
        <v>0.6</v>
      </c>
      <c r="J92" s="479"/>
      <c r="K92" s="480"/>
      <c r="L92" s="178">
        <f t="shared" si="9"/>
        <v>0</v>
      </c>
      <c r="M92" s="193"/>
      <c r="N92" s="194"/>
      <c r="O92" s="194"/>
      <c r="Q92" s="195"/>
    </row>
    <row r="93" spans="1:17" s="172" customFormat="1" ht="30" customHeight="1" x14ac:dyDescent="0.2">
      <c r="A93" s="164">
        <v>4</v>
      </c>
      <c r="B93" s="499" t="str">
        <f t="shared" si="8"/>
        <v>AV. DRº RUI EVANGELISTA DA EXALTAÇÃO</v>
      </c>
      <c r="C93" s="500"/>
      <c r="D93" s="176">
        <v>0</v>
      </c>
      <c r="E93" s="188">
        <v>0.4</v>
      </c>
      <c r="F93" s="478">
        <v>4</v>
      </c>
      <c r="G93" s="479"/>
      <c r="H93" s="480"/>
      <c r="I93" s="478">
        <v>0.6</v>
      </c>
      <c r="J93" s="479"/>
      <c r="K93" s="480"/>
      <c r="L93" s="178">
        <f t="shared" si="9"/>
        <v>0</v>
      </c>
      <c r="M93" s="193"/>
      <c r="N93" s="194"/>
      <c r="O93" s="194"/>
      <c r="Q93" s="195"/>
    </row>
    <row r="94" spans="1:17" s="172" customFormat="1" ht="30" customHeight="1" x14ac:dyDescent="0.2">
      <c r="A94" s="164">
        <v>5</v>
      </c>
      <c r="B94" s="499" t="str">
        <f t="shared" si="8"/>
        <v>RUA MIRO HENRIQUE VIEIRA FREIRE</v>
      </c>
      <c r="C94" s="500"/>
      <c r="D94" s="176">
        <v>0</v>
      </c>
      <c r="E94" s="188">
        <v>0.4</v>
      </c>
      <c r="F94" s="478">
        <v>4</v>
      </c>
      <c r="G94" s="479"/>
      <c r="H94" s="480"/>
      <c r="I94" s="478">
        <v>0.6</v>
      </c>
      <c r="J94" s="479"/>
      <c r="K94" s="480"/>
      <c r="L94" s="178">
        <f t="shared" si="9"/>
        <v>0</v>
      </c>
      <c r="M94" s="193"/>
      <c r="N94" s="194"/>
      <c r="O94" s="194"/>
      <c r="Q94" s="195"/>
    </row>
    <row r="95" spans="1:17" s="172" customFormat="1" ht="30" customHeight="1" x14ac:dyDescent="0.2">
      <c r="A95" s="164">
        <v>6</v>
      </c>
      <c r="B95" s="499" t="str">
        <f t="shared" si="8"/>
        <v>RUA MARIA MARTA VIEIRA</v>
      </c>
      <c r="C95" s="500"/>
      <c r="D95" s="176">
        <v>0</v>
      </c>
      <c r="E95" s="188">
        <v>0.4</v>
      </c>
      <c r="F95" s="478">
        <v>4</v>
      </c>
      <c r="G95" s="479"/>
      <c r="H95" s="480"/>
      <c r="I95" s="478">
        <v>0.6</v>
      </c>
      <c r="J95" s="479"/>
      <c r="K95" s="480"/>
      <c r="L95" s="178">
        <f t="shared" si="9"/>
        <v>0</v>
      </c>
      <c r="M95" s="193"/>
      <c r="N95" s="194"/>
      <c r="O95" s="194"/>
      <c r="Q95" s="195"/>
    </row>
    <row r="96" spans="1:17" s="172" customFormat="1" ht="30" customHeight="1" x14ac:dyDescent="0.2">
      <c r="A96" s="164">
        <v>7</v>
      </c>
      <c r="B96" s="499" t="str">
        <f t="shared" si="8"/>
        <v>AV. DIONITA JUVENAL DA EXALTAÇÃO</v>
      </c>
      <c r="C96" s="500"/>
      <c r="D96" s="176">
        <v>0</v>
      </c>
      <c r="E96" s="188">
        <v>0.4</v>
      </c>
      <c r="F96" s="478">
        <v>4</v>
      </c>
      <c r="G96" s="479"/>
      <c r="H96" s="480"/>
      <c r="I96" s="478">
        <v>0.6</v>
      </c>
      <c r="J96" s="479"/>
      <c r="K96" s="480"/>
      <c r="L96" s="178">
        <f t="shared" si="9"/>
        <v>0</v>
      </c>
      <c r="M96" s="193"/>
      <c r="N96" s="194"/>
      <c r="O96" s="194"/>
      <c r="Q96" s="195"/>
    </row>
    <row r="97" spans="1:17" s="172" customFormat="1" ht="30" customHeight="1" x14ac:dyDescent="0.2">
      <c r="A97" s="164">
        <v>8</v>
      </c>
      <c r="B97" s="499" t="str">
        <f t="shared" si="8"/>
        <v>AV. EDUARDO VIEIRA</v>
      </c>
      <c r="C97" s="500"/>
      <c r="D97" s="176">
        <v>6</v>
      </c>
      <c r="E97" s="188">
        <v>0.4</v>
      </c>
      <c r="F97" s="478">
        <v>4</v>
      </c>
      <c r="G97" s="479"/>
      <c r="H97" s="480"/>
      <c r="I97" s="478">
        <v>0.6</v>
      </c>
      <c r="J97" s="479"/>
      <c r="K97" s="480"/>
      <c r="L97" s="178">
        <f t="shared" si="9"/>
        <v>9.6000000000000014</v>
      </c>
      <c r="M97" s="193"/>
      <c r="N97" s="194"/>
      <c r="O97" s="194"/>
      <c r="Q97" s="195"/>
    </row>
    <row r="98" spans="1:17" s="172" customFormat="1" ht="30" customHeight="1" x14ac:dyDescent="0.2">
      <c r="A98" s="164">
        <v>9</v>
      </c>
      <c r="B98" s="499" t="str">
        <f t="shared" si="8"/>
        <v>TRAVESSA A</v>
      </c>
      <c r="C98" s="500"/>
      <c r="D98" s="176">
        <v>0</v>
      </c>
      <c r="E98" s="188">
        <v>0.4</v>
      </c>
      <c r="F98" s="478">
        <v>4</v>
      </c>
      <c r="G98" s="479"/>
      <c r="H98" s="480"/>
      <c r="I98" s="478">
        <v>0.6</v>
      </c>
      <c r="J98" s="479"/>
      <c r="K98" s="480"/>
      <c r="L98" s="178">
        <f t="shared" si="9"/>
        <v>0</v>
      </c>
      <c r="M98" s="193"/>
      <c r="N98" s="194"/>
      <c r="O98" s="194"/>
      <c r="Q98" s="195"/>
    </row>
    <row r="99" spans="1:17" s="172" customFormat="1" ht="30" customHeight="1" x14ac:dyDescent="0.2">
      <c r="A99" s="164">
        <v>10</v>
      </c>
      <c r="B99" s="499" t="str">
        <f t="shared" si="8"/>
        <v>RUA CAETÊ</v>
      </c>
      <c r="C99" s="500"/>
      <c r="D99" s="176">
        <v>6</v>
      </c>
      <c r="E99" s="188">
        <v>0.4</v>
      </c>
      <c r="F99" s="478">
        <v>4</v>
      </c>
      <c r="G99" s="479"/>
      <c r="H99" s="480"/>
      <c r="I99" s="478">
        <v>0.6</v>
      </c>
      <c r="J99" s="479"/>
      <c r="K99" s="480"/>
      <c r="L99" s="178">
        <f t="shared" si="9"/>
        <v>9.6000000000000014</v>
      </c>
      <c r="M99" s="193"/>
      <c r="N99" s="194"/>
      <c r="O99" s="194"/>
      <c r="Q99" s="195"/>
    </row>
    <row r="100" spans="1:17" s="172" customFormat="1" ht="30" customHeight="1" x14ac:dyDescent="0.2">
      <c r="A100" s="164">
        <v>11</v>
      </c>
      <c r="B100" s="499" t="str">
        <f t="shared" si="8"/>
        <v>RUA MARIA MARTA VIEIRA</v>
      </c>
      <c r="C100" s="500"/>
      <c r="D100" s="176">
        <v>0</v>
      </c>
      <c r="E100" s="188">
        <v>0.4</v>
      </c>
      <c r="F100" s="478">
        <v>4</v>
      </c>
      <c r="G100" s="479"/>
      <c r="H100" s="480"/>
      <c r="I100" s="478">
        <v>0.6</v>
      </c>
      <c r="J100" s="479"/>
      <c r="K100" s="480"/>
      <c r="L100" s="178">
        <f t="shared" si="9"/>
        <v>0</v>
      </c>
      <c r="M100" s="193"/>
      <c r="N100" s="194"/>
      <c r="O100" s="194"/>
      <c r="Q100" s="195"/>
    </row>
    <row r="101" spans="1:17" s="172" customFormat="1" ht="30" customHeight="1" x14ac:dyDescent="0.2">
      <c r="A101" s="164">
        <v>12</v>
      </c>
      <c r="B101" s="499" t="str">
        <f t="shared" si="8"/>
        <v>RUA 02</v>
      </c>
      <c r="C101" s="500"/>
      <c r="D101" s="176">
        <v>0</v>
      </c>
      <c r="E101" s="188">
        <v>0.4</v>
      </c>
      <c r="F101" s="478">
        <v>4</v>
      </c>
      <c r="G101" s="479"/>
      <c r="H101" s="480"/>
      <c r="I101" s="478">
        <v>0.6</v>
      </c>
      <c r="J101" s="479"/>
      <c r="K101" s="480"/>
      <c r="L101" s="178">
        <f t="shared" si="9"/>
        <v>0</v>
      </c>
      <c r="M101" s="193"/>
      <c r="N101" s="194"/>
      <c r="O101" s="194"/>
      <c r="Q101" s="195"/>
    </row>
    <row r="102" spans="1:17" s="172" customFormat="1" ht="30" customHeight="1" x14ac:dyDescent="0.2">
      <c r="A102" s="164">
        <v>13</v>
      </c>
      <c r="B102" s="499" t="str">
        <f t="shared" si="8"/>
        <v>RUA E</v>
      </c>
      <c r="C102" s="500"/>
      <c r="D102" s="176">
        <v>6</v>
      </c>
      <c r="E102" s="188">
        <v>0.4</v>
      </c>
      <c r="F102" s="478">
        <v>4</v>
      </c>
      <c r="G102" s="479"/>
      <c r="H102" s="480"/>
      <c r="I102" s="478">
        <v>0.6</v>
      </c>
      <c r="J102" s="479"/>
      <c r="K102" s="480"/>
      <c r="L102" s="178">
        <f t="shared" si="9"/>
        <v>9.6000000000000014</v>
      </c>
      <c r="M102" s="193"/>
      <c r="N102" s="194"/>
      <c r="O102" s="194"/>
      <c r="Q102" s="195"/>
    </row>
    <row r="103" spans="1:17" s="172" customFormat="1" ht="30" customHeight="1" x14ac:dyDescent="0.2">
      <c r="A103" s="164">
        <v>14</v>
      </c>
      <c r="B103" s="499" t="str">
        <f t="shared" si="8"/>
        <v>TV ALTO PARAISO</v>
      </c>
      <c r="C103" s="500"/>
      <c r="D103" s="176">
        <v>12</v>
      </c>
      <c r="E103" s="188">
        <v>0.4</v>
      </c>
      <c r="F103" s="478">
        <v>4</v>
      </c>
      <c r="G103" s="479"/>
      <c r="H103" s="480"/>
      <c r="I103" s="478">
        <v>0.6</v>
      </c>
      <c r="J103" s="479"/>
      <c r="K103" s="480"/>
      <c r="L103" s="178">
        <f t="shared" si="9"/>
        <v>19.200000000000003</v>
      </c>
      <c r="M103" s="193"/>
      <c r="N103" s="194"/>
      <c r="O103" s="194"/>
      <c r="Q103" s="195"/>
    </row>
    <row r="104" spans="1:17" s="179" customFormat="1" ht="20.100000000000001" customHeight="1" x14ac:dyDescent="0.2">
      <c r="A104" s="452" t="s">
        <v>187</v>
      </c>
      <c r="B104" s="453"/>
      <c r="C104" s="453"/>
      <c r="D104" s="453"/>
      <c r="E104" s="453"/>
      <c r="F104" s="453"/>
      <c r="G104" s="453"/>
      <c r="H104" s="453"/>
      <c r="I104" s="453"/>
      <c r="J104" s="453"/>
      <c r="K104" s="453"/>
      <c r="L104" s="156">
        <f>SUM(L90:L103)</f>
        <v>48.000000000000007</v>
      </c>
      <c r="M104" s="196"/>
      <c r="N104" s="197"/>
      <c r="O104" s="197"/>
      <c r="P104" s="198"/>
      <c r="Q104" s="199"/>
    </row>
    <row r="105" spans="1:17" x14ac:dyDescent="0.25">
      <c r="H105" s="187"/>
      <c r="K105" s="187"/>
      <c r="L105" s="187"/>
      <c r="M105" s="187"/>
      <c r="N105" s="187"/>
      <c r="O105" s="187"/>
      <c r="P105" s="187"/>
      <c r="Q105" s="187"/>
    </row>
    <row r="106" spans="1:17" s="165" customFormat="1" ht="15.75" x14ac:dyDescent="0.2">
      <c r="A106" s="166" t="s">
        <v>248</v>
      </c>
      <c r="B106" s="167" t="s">
        <v>260</v>
      </c>
      <c r="C106" s="167"/>
      <c r="D106" s="167"/>
      <c r="E106" s="167"/>
      <c r="F106" s="167"/>
      <c r="G106" s="168"/>
      <c r="H106" s="169"/>
      <c r="I106" s="167"/>
      <c r="J106" s="168"/>
      <c r="K106" s="169"/>
      <c r="L106" s="169"/>
      <c r="M106" s="169"/>
      <c r="N106" s="169"/>
      <c r="O106" s="169"/>
      <c r="P106" s="169"/>
      <c r="Q106" s="170"/>
    </row>
    <row r="107" spans="1:17" s="172" customFormat="1" ht="12.75" customHeight="1" x14ac:dyDescent="0.2">
      <c r="A107" s="416" t="s">
        <v>90</v>
      </c>
      <c r="B107" s="446" t="s">
        <v>177</v>
      </c>
      <c r="C107" s="447"/>
      <c r="D107" s="447"/>
      <c r="E107" s="447"/>
      <c r="F107" s="493" t="s">
        <v>74</v>
      </c>
      <c r="G107" s="494"/>
      <c r="H107" s="494"/>
      <c r="I107" s="493" t="s">
        <v>261</v>
      </c>
      <c r="J107" s="494"/>
      <c r="K107" s="495"/>
      <c r="L107" s="171" t="s">
        <v>262</v>
      </c>
      <c r="M107" s="189" t="s">
        <v>251</v>
      </c>
      <c r="N107" s="190"/>
      <c r="O107" s="190"/>
      <c r="P107" s="191"/>
      <c r="Q107" s="192"/>
    </row>
    <row r="108" spans="1:17" s="172" customFormat="1" ht="12.75" x14ac:dyDescent="0.2">
      <c r="A108" s="417"/>
      <c r="B108" s="420"/>
      <c r="C108" s="421"/>
      <c r="D108" s="421"/>
      <c r="E108" s="421"/>
      <c r="F108" s="496" t="s">
        <v>263</v>
      </c>
      <c r="G108" s="497"/>
      <c r="H108" s="497"/>
      <c r="I108" s="496" t="s">
        <v>185</v>
      </c>
      <c r="J108" s="497"/>
      <c r="K108" s="498"/>
      <c r="L108" s="152" t="s">
        <v>185</v>
      </c>
      <c r="M108" s="193"/>
      <c r="N108" s="194"/>
      <c r="O108" s="194"/>
      <c r="Q108" s="195"/>
    </row>
    <row r="109" spans="1:17" s="172" customFormat="1" ht="30" customHeight="1" x14ac:dyDescent="0.2">
      <c r="A109" s="164">
        <v>1</v>
      </c>
      <c r="B109" s="216" t="str">
        <f>B90</f>
        <v>ALAMEDA DAS GARRINCHAS</v>
      </c>
      <c r="C109" s="217"/>
      <c r="D109" s="217"/>
      <c r="E109" s="217"/>
      <c r="F109" s="481">
        <v>4</v>
      </c>
      <c r="G109" s="482"/>
      <c r="H109" s="483"/>
      <c r="I109" s="484">
        <v>1.25</v>
      </c>
      <c r="J109" s="485"/>
      <c r="K109" s="486"/>
      <c r="L109" s="178">
        <f>F109*I109</f>
        <v>5</v>
      </c>
      <c r="M109" s="193"/>
      <c r="N109" s="194"/>
      <c r="O109" s="194"/>
      <c r="Q109" s="195"/>
    </row>
    <row r="110" spans="1:17" s="172" customFormat="1" ht="30" customHeight="1" x14ac:dyDescent="0.2">
      <c r="A110" s="164">
        <v>2</v>
      </c>
      <c r="B110" s="216" t="str">
        <f t="shared" ref="B110:B122" si="10">B91</f>
        <v>RUA MARIA DE LOURDES VIEIRA</v>
      </c>
      <c r="C110" s="217"/>
      <c r="D110" s="217"/>
      <c r="E110" s="217"/>
      <c r="F110" s="481">
        <v>4</v>
      </c>
      <c r="G110" s="482"/>
      <c r="H110" s="483"/>
      <c r="I110" s="484">
        <v>1.25</v>
      </c>
      <c r="J110" s="485"/>
      <c r="K110" s="486"/>
      <c r="L110" s="178">
        <f t="shared" ref="L110:L122" si="11">F110*I110</f>
        <v>5</v>
      </c>
      <c r="M110" s="193"/>
      <c r="N110" s="194"/>
      <c r="O110" s="194"/>
      <c r="Q110" s="195"/>
    </row>
    <row r="111" spans="1:17" s="172" customFormat="1" ht="30" customHeight="1" x14ac:dyDescent="0.2">
      <c r="A111" s="164">
        <v>3</v>
      </c>
      <c r="B111" s="216" t="str">
        <f t="shared" si="10"/>
        <v>AV. JUVENTINO CIPRIANO DA EXALTAÇÃO</v>
      </c>
      <c r="C111" s="217"/>
      <c r="D111" s="217"/>
      <c r="E111" s="217"/>
      <c r="F111" s="481">
        <v>0</v>
      </c>
      <c r="G111" s="482"/>
      <c r="H111" s="483"/>
      <c r="I111" s="484">
        <v>1.25</v>
      </c>
      <c r="J111" s="485"/>
      <c r="K111" s="486"/>
      <c r="L111" s="178">
        <f t="shared" si="11"/>
        <v>0</v>
      </c>
      <c r="M111" s="193"/>
      <c r="N111" s="194"/>
      <c r="O111" s="194"/>
      <c r="Q111" s="195"/>
    </row>
    <row r="112" spans="1:17" s="172" customFormat="1" ht="30" customHeight="1" x14ac:dyDescent="0.2">
      <c r="A112" s="164">
        <v>4</v>
      </c>
      <c r="B112" s="216" t="str">
        <f t="shared" si="10"/>
        <v>AV. DRº RUI EVANGELISTA DA EXALTAÇÃO</v>
      </c>
      <c r="C112" s="217"/>
      <c r="D112" s="217"/>
      <c r="E112" s="217"/>
      <c r="F112" s="481">
        <v>0</v>
      </c>
      <c r="G112" s="482"/>
      <c r="H112" s="483"/>
      <c r="I112" s="484">
        <v>1.25</v>
      </c>
      <c r="J112" s="485"/>
      <c r="K112" s="486"/>
      <c r="L112" s="178">
        <f t="shared" si="11"/>
        <v>0</v>
      </c>
      <c r="M112" s="193"/>
      <c r="N112" s="194"/>
      <c r="O112" s="194"/>
      <c r="Q112" s="195"/>
    </row>
    <row r="113" spans="1:247" s="172" customFormat="1" ht="30" customHeight="1" x14ac:dyDescent="0.2">
      <c r="A113" s="164">
        <v>5</v>
      </c>
      <c r="B113" s="216" t="str">
        <f t="shared" si="10"/>
        <v>RUA MIRO HENRIQUE VIEIRA FREIRE</v>
      </c>
      <c r="C113" s="217"/>
      <c r="D113" s="217"/>
      <c r="E113" s="217"/>
      <c r="F113" s="481">
        <v>4</v>
      </c>
      <c r="G113" s="482"/>
      <c r="H113" s="483"/>
      <c r="I113" s="484">
        <v>1.25</v>
      </c>
      <c r="J113" s="485"/>
      <c r="K113" s="486"/>
      <c r="L113" s="178">
        <f t="shared" si="11"/>
        <v>5</v>
      </c>
      <c r="M113" s="193"/>
      <c r="N113" s="194"/>
      <c r="O113" s="194"/>
      <c r="Q113" s="195"/>
    </row>
    <row r="114" spans="1:247" s="172" customFormat="1" ht="30" customHeight="1" x14ac:dyDescent="0.2">
      <c r="A114" s="164">
        <v>6</v>
      </c>
      <c r="B114" s="216" t="str">
        <f t="shared" si="10"/>
        <v>RUA MARIA MARTA VIEIRA</v>
      </c>
      <c r="C114" s="217"/>
      <c r="D114" s="217"/>
      <c r="E114" s="217"/>
      <c r="F114" s="481">
        <v>3</v>
      </c>
      <c r="G114" s="482"/>
      <c r="H114" s="483"/>
      <c r="I114" s="484">
        <v>1.25</v>
      </c>
      <c r="J114" s="485"/>
      <c r="K114" s="486"/>
      <c r="L114" s="178">
        <f t="shared" si="11"/>
        <v>3.75</v>
      </c>
      <c r="M114" s="193"/>
      <c r="N114" s="194"/>
      <c r="O114" s="194"/>
      <c r="Q114" s="195"/>
    </row>
    <row r="115" spans="1:247" s="172" customFormat="1" ht="30" customHeight="1" x14ac:dyDescent="0.2">
      <c r="A115" s="164">
        <v>7</v>
      </c>
      <c r="B115" s="216" t="str">
        <f t="shared" si="10"/>
        <v>AV. DIONITA JUVENAL DA EXALTAÇÃO</v>
      </c>
      <c r="C115" s="217"/>
      <c r="D115" s="217"/>
      <c r="E115" s="217"/>
      <c r="F115" s="481">
        <v>2</v>
      </c>
      <c r="G115" s="482"/>
      <c r="H115" s="483"/>
      <c r="I115" s="484">
        <v>1.25</v>
      </c>
      <c r="J115" s="485"/>
      <c r="K115" s="486"/>
      <c r="L115" s="178">
        <f t="shared" si="11"/>
        <v>2.5</v>
      </c>
      <c r="M115" s="193"/>
      <c r="N115" s="194"/>
      <c r="O115" s="194"/>
      <c r="Q115" s="195"/>
    </row>
    <row r="116" spans="1:247" s="172" customFormat="1" ht="30" customHeight="1" x14ac:dyDescent="0.2">
      <c r="A116" s="164">
        <v>8</v>
      </c>
      <c r="B116" s="216" t="str">
        <f t="shared" si="10"/>
        <v>AV. EDUARDO VIEIRA</v>
      </c>
      <c r="C116" s="217"/>
      <c r="D116" s="217"/>
      <c r="E116" s="217"/>
      <c r="F116" s="481">
        <v>1</v>
      </c>
      <c r="G116" s="482"/>
      <c r="H116" s="483"/>
      <c r="I116" s="484">
        <v>1.25</v>
      </c>
      <c r="J116" s="485"/>
      <c r="K116" s="486"/>
      <c r="L116" s="178">
        <f t="shared" si="11"/>
        <v>1.25</v>
      </c>
      <c r="M116" s="193"/>
      <c r="N116" s="194"/>
      <c r="O116" s="194"/>
      <c r="Q116" s="195"/>
    </row>
    <row r="117" spans="1:247" s="172" customFormat="1" ht="30" customHeight="1" x14ac:dyDescent="0.2">
      <c r="A117" s="164">
        <v>9</v>
      </c>
      <c r="B117" s="216" t="str">
        <f t="shared" si="10"/>
        <v>TRAVESSA A</v>
      </c>
      <c r="C117" s="217"/>
      <c r="D117" s="217"/>
      <c r="E117" s="217"/>
      <c r="F117" s="481">
        <v>2</v>
      </c>
      <c r="G117" s="482"/>
      <c r="H117" s="483"/>
      <c r="I117" s="484">
        <v>1.25</v>
      </c>
      <c r="J117" s="485"/>
      <c r="K117" s="486"/>
      <c r="L117" s="178">
        <f t="shared" si="11"/>
        <v>2.5</v>
      </c>
      <c r="M117" s="193"/>
      <c r="N117" s="194"/>
      <c r="O117" s="194"/>
      <c r="Q117" s="195"/>
    </row>
    <row r="118" spans="1:247" s="172" customFormat="1" ht="30" customHeight="1" x14ac:dyDescent="0.2">
      <c r="A118" s="164">
        <v>10</v>
      </c>
      <c r="B118" s="216" t="str">
        <f t="shared" si="10"/>
        <v>RUA CAETÊ</v>
      </c>
      <c r="C118" s="217"/>
      <c r="D118" s="217"/>
      <c r="E118" s="217"/>
      <c r="F118" s="481">
        <v>1</v>
      </c>
      <c r="G118" s="482"/>
      <c r="H118" s="483"/>
      <c r="I118" s="484">
        <v>1.25</v>
      </c>
      <c r="J118" s="485"/>
      <c r="K118" s="486"/>
      <c r="L118" s="178">
        <f t="shared" si="11"/>
        <v>1.25</v>
      </c>
      <c r="M118" s="193"/>
      <c r="N118" s="194"/>
      <c r="O118" s="194"/>
      <c r="Q118" s="195"/>
    </row>
    <row r="119" spans="1:247" s="172" customFormat="1" ht="30" customHeight="1" x14ac:dyDescent="0.2">
      <c r="A119" s="164">
        <v>11</v>
      </c>
      <c r="B119" s="216" t="str">
        <f t="shared" si="10"/>
        <v>RUA MARIA MARTA VIEIRA</v>
      </c>
      <c r="C119" s="217"/>
      <c r="D119" s="217"/>
      <c r="E119" s="217"/>
      <c r="F119" s="481">
        <v>4</v>
      </c>
      <c r="G119" s="482"/>
      <c r="H119" s="483"/>
      <c r="I119" s="484">
        <v>1.25</v>
      </c>
      <c r="J119" s="485"/>
      <c r="K119" s="486"/>
      <c r="L119" s="178">
        <f t="shared" si="11"/>
        <v>5</v>
      </c>
      <c r="M119" s="193"/>
      <c r="N119" s="194"/>
      <c r="O119" s="194"/>
      <c r="Q119" s="195"/>
    </row>
    <row r="120" spans="1:247" s="172" customFormat="1" ht="30" customHeight="1" x14ac:dyDescent="0.2">
      <c r="A120" s="164">
        <v>12</v>
      </c>
      <c r="B120" s="216" t="str">
        <f t="shared" si="10"/>
        <v>RUA 02</v>
      </c>
      <c r="C120" s="217"/>
      <c r="D120" s="217"/>
      <c r="E120" s="217"/>
      <c r="F120" s="481">
        <v>1</v>
      </c>
      <c r="G120" s="482"/>
      <c r="H120" s="483"/>
      <c r="I120" s="484">
        <v>1.25</v>
      </c>
      <c r="J120" s="485"/>
      <c r="K120" s="486"/>
      <c r="L120" s="178">
        <f t="shared" si="11"/>
        <v>1.25</v>
      </c>
      <c r="M120" s="193"/>
      <c r="N120" s="194"/>
      <c r="O120" s="194"/>
      <c r="Q120" s="195"/>
    </row>
    <row r="121" spans="1:247" s="172" customFormat="1" ht="30" customHeight="1" x14ac:dyDescent="0.2">
      <c r="A121" s="164">
        <v>13</v>
      </c>
      <c r="B121" s="216" t="str">
        <f t="shared" si="10"/>
        <v>RUA E</v>
      </c>
      <c r="C121" s="217"/>
      <c r="D121" s="217"/>
      <c r="E121" s="217"/>
      <c r="F121" s="481">
        <v>3</v>
      </c>
      <c r="G121" s="482"/>
      <c r="H121" s="483"/>
      <c r="I121" s="484">
        <v>1.25</v>
      </c>
      <c r="J121" s="485"/>
      <c r="K121" s="486"/>
      <c r="L121" s="178">
        <f t="shared" si="11"/>
        <v>3.75</v>
      </c>
      <c r="M121" s="193"/>
      <c r="N121" s="194"/>
      <c r="O121" s="194"/>
      <c r="Q121" s="195"/>
    </row>
    <row r="122" spans="1:247" s="172" customFormat="1" ht="30" customHeight="1" x14ac:dyDescent="0.2">
      <c r="A122" s="164">
        <v>14</v>
      </c>
      <c r="B122" s="216" t="str">
        <f t="shared" si="10"/>
        <v>TV ALTO PARAISO</v>
      </c>
      <c r="C122" s="217"/>
      <c r="D122" s="217"/>
      <c r="E122" s="217"/>
      <c r="F122" s="481">
        <v>3</v>
      </c>
      <c r="G122" s="482"/>
      <c r="H122" s="483"/>
      <c r="I122" s="484">
        <v>1.25</v>
      </c>
      <c r="J122" s="485"/>
      <c r="K122" s="486"/>
      <c r="L122" s="178">
        <f t="shared" si="11"/>
        <v>3.75</v>
      </c>
      <c r="M122" s="193"/>
      <c r="N122" s="194"/>
      <c r="O122" s="194"/>
      <c r="Q122" s="195"/>
    </row>
    <row r="123" spans="1:247" s="179" customFormat="1" ht="20.100000000000001" customHeight="1" x14ac:dyDescent="0.2">
      <c r="A123" s="452" t="s">
        <v>187</v>
      </c>
      <c r="B123" s="453"/>
      <c r="C123" s="453"/>
      <c r="D123" s="453"/>
      <c r="E123" s="453"/>
      <c r="F123" s="453"/>
      <c r="G123" s="453"/>
      <c r="H123" s="453"/>
      <c r="I123" s="453"/>
      <c r="J123" s="453"/>
      <c r="K123" s="453"/>
      <c r="L123" s="156">
        <f>SUM(L109:L122)</f>
        <v>40</v>
      </c>
      <c r="M123" s="196"/>
      <c r="N123" s="197"/>
      <c r="O123" s="197"/>
      <c r="P123" s="198"/>
      <c r="Q123" s="199"/>
    </row>
    <row r="124" spans="1:247" x14ac:dyDescent="0.25">
      <c r="H124" s="187"/>
      <c r="K124" s="187"/>
      <c r="L124" s="187"/>
      <c r="M124" s="187"/>
      <c r="N124" s="187"/>
      <c r="O124" s="187"/>
      <c r="P124" s="187"/>
      <c r="Q124" s="187"/>
    </row>
    <row r="125" spans="1:247" ht="39.75" customHeight="1" x14ac:dyDescent="0.25">
      <c r="A125" s="488" t="s">
        <v>413</v>
      </c>
      <c r="B125" s="489"/>
      <c r="C125" s="489"/>
      <c r="D125" s="489"/>
      <c r="E125" s="489"/>
      <c r="F125" s="489"/>
      <c r="G125" s="489"/>
      <c r="H125" s="489"/>
      <c r="I125" s="489"/>
      <c r="J125" s="489"/>
      <c r="K125" s="489"/>
      <c r="L125" s="489"/>
      <c r="M125" s="489"/>
      <c r="N125" s="490"/>
      <c r="O125" s="491">
        <f>L123+L104+L85</f>
        <v>132.80000000000001</v>
      </c>
      <c r="P125" s="492"/>
      <c r="Q125" s="203" t="s">
        <v>24</v>
      </c>
      <c r="IM125" s="187">
        <f>O125</f>
        <v>132.80000000000001</v>
      </c>
    </row>
    <row r="126" spans="1:247" ht="39.75" customHeight="1" x14ac:dyDescent="0.25">
      <c r="A126" s="488" t="s">
        <v>414</v>
      </c>
      <c r="B126" s="489"/>
      <c r="C126" s="489"/>
      <c r="D126" s="489"/>
      <c r="E126" s="489"/>
      <c r="F126" s="489"/>
      <c r="G126" s="489"/>
      <c r="H126" s="489"/>
      <c r="I126" s="489"/>
      <c r="J126" s="489"/>
      <c r="K126" s="489"/>
      <c r="L126" s="489"/>
      <c r="M126" s="489"/>
      <c r="N126" s="490"/>
      <c r="O126" s="491">
        <f>L28+M47+F66</f>
        <v>8369.36</v>
      </c>
      <c r="P126" s="492"/>
      <c r="Q126" s="318" t="s">
        <v>415</v>
      </c>
      <c r="IM126" s="187">
        <f>O126</f>
        <v>8369.36</v>
      </c>
    </row>
    <row r="127" spans="1:247" x14ac:dyDescent="0.25">
      <c r="A127" s="204"/>
    </row>
    <row r="132" spans="8:8" x14ac:dyDescent="0.25">
      <c r="H132" s="205"/>
    </row>
  </sheetData>
  <mergeCells count="186">
    <mergeCell ref="N1:O1"/>
    <mergeCell ref="A31:A32"/>
    <mergeCell ref="O31:Q47"/>
    <mergeCell ref="A10:Q10"/>
    <mergeCell ref="A12:A13"/>
    <mergeCell ref="B12:K13"/>
    <mergeCell ref="O12:Q28"/>
    <mergeCell ref="A28:K28"/>
    <mergeCell ref="A47:L47"/>
    <mergeCell ref="A2:Q2"/>
    <mergeCell ref="A3:Q3"/>
    <mergeCell ref="A4:Q4"/>
    <mergeCell ref="A5:Q5"/>
    <mergeCell ref="B52:E52"/>
    <mergeCell ref="F52:H52"/>
    <mergeCell ref="I52:K52"/>
    <mergeCell ref="B53:E53"/>
    <mergeCell ref="F53:H53"/>
    <mergeCell ref="I53:K53"/>
    <mergeCell ref="A50:A51"/>
    <mergeCell ref="B50:E51"/>
    <mergeCell ref="F50:H50"/>
    <mergeCell ref="I50:K50"/>
    <mergeCell ref="F51:H51"/>
    <mergeCell ref="I51:K51"/>
    <mergeCell ref="B56:E56"/>
    <mergeCell ref="F56:H56"/>
    <mergeCell ref="I56:K56"/>
    <mergeCell ref="B57:E57"/>
    <mergeCell ref="F57:H57"/>
    <mergeCell ref="I57:K57"/>
    <mergeCell ref="B54:E54"/>
    <mergeCell ref="F54:H54"/>
    <mergeCell ref="I54:K54"/>
    <mergeCell ref="B55:E55"/>
    <mergeCell ref="F55:H55"/>
    <mergeCell ref="I55:K55"/>
    <mergeCell ref="A69:A70"/>
    <mergeCell ref="B69:E70"/>
    <mergeCell ref="F69:H69"/>
    <mergeCell ref="I69:J69"/>
    <mergeCell ref="F70:H70"/>
    <mergeCell ref="I70:J70"/>
    <mergeCell ref="A66:E66"/>
    <mergeCell ref="B58:E58"/>
    <mergeCell ref="F58:H58"/>
    <mergeCell ref="I58:K58"/>
    <mergeCell ref="F84:H84"/>
    <mergeCell ref="I84:J84"/>
    <mergeCell ref="F75:H75"/>
    <mergeCell ref="I75:J75"/>
    <mergeCell ref="F76:H76"/>
    <mergeCell ref="I76:J76"/>
    <mergeCell ref="F79:H79"/>
    <mergeCell ref="F80:H80"/>
    <mergeCell ref="F81:H81"/>
    <mergeCell ref="F82:H82"/>
    <mergeCell ref="F83:H83"/>
    <mergeCell ref="I79:J79"/>
    <mergeCell ref="I80:J80"/>
    <mergeCell ref="I81:J81"/>
    <mergeCell ref="I82:J82"/>
    <mergeCell ref="I83:J83"/>
    <mergeCell ref="B90:C90"/>
    <mergeCell ref="F90:H90"/>
    <mergeCell ref="I90:K90"/>
    <mergeCell ref="B91:C91"/>
    <mergeCell ref="F91:H91"/>
    <mergeCell ref="I91:K91"/>
    <mergeCell ref="A85:K85"/>
    <mergeCell ref="A88:A89"/>
    <mergeCell ref="B88:C89"/>
    <mergeCell ref="F88:H88"/>
    <mergeCell ref="I88:K88"/>
    <mergeCell ref="F89:H89"/>
    <mergeCell ref="I89:K89"/>
    <mergeCell ref="B102:C102"/>
    <mergeCell ref="F102:H102"/>
    <mergeCell ref="I102:K102"/>
    <mergeCell ref="B103:C103"/>
    <mergeCell ref="F103:H103"/>
    <mergeCell ref="I103:K103"/>
    <mergeCell ref="B92:C92"/>
    <mergeCell ref="F92:H92"/>
    <mergeCell ref="I92:K92"/>
    <mergeCell ref="B101:C101"/>
    <mergeCell ref="F101:H101"/>
    <mergeCell ref="I101:K101"/>
    <mergeCell ref="B93:C93"/>
    <mergeCell ref="B94:C94"/>
    <mergeCell ref="B95:C95"/>
    <mergeCell ref="B96:C96"/>
    <mergeCell ref="B97:C97"/>
    <mergeCell ref="B98:C98"/>
    <mergeCell ref="B99:C99"/>
    <mergeCell ref="B100:C100"/>
    <mergeCell ref="F93:H93"/>
    <mergeCell ref="I93:K93"/>
    <mergeCell ref="F94:H94"/>
    <mergeCell ref="I94:K94"/>
    <mergeCell ref="F110:H110"/>
    <mergeCell ref="I110:K110"/>
    <mergeCell ref="A104:K104"/>
    <mergeCell ref="A107:A108"/>
    <mergeCell ref="B107:E108"/>
    <mergeCell ref="F107:H107"/>
    <mergeCell ref="I107:K107"/>
    <mergeCell ref="F108:H108"/>
    <mergeCell ref="I108:K108"/>
    <mergeCell ref="A125:N125"/>
    <mergeCell ref="O125:P125"/>
    <mergeCell ref="A123:K123"/>
    <mergeCell ref="A126:N126"/>
    <mergeCell ref="O126:P126"/>
    <mergeCell ref="F120:H120"/>
    <mergeCell ref="I120:K120"/>
    <mergeCell ref="F122:H122"/>
    <mergeCell ref="I122:K122"/>
    <mergeCell ref="B59:E59"/>
    <mergeCell ref="B60:E60"/>
    <mergeCell ref="B61:E61"/>
    <mergeCell ref="B62:E62"/>
    <mergeCell ref="B63:E63"/>
    <mergeCell ref="B64:E64"/>
    <mergeCell ref="B65:E65"/>
    <mergeCell ref="F59:H59"/>
    <mergeCell ref="F60:H60"/>
    <mergeCell ref="F61:H61"/>
    <mergeCell ref="F62:H62"/>
    <mergeCell ref="F63:H63"/>
    <mergeCell ref="F64:H64"/>
    <mergeCell ref="F65:H65"/>
    <mergeCell ref="I59:K59"/>
    <mergeCell ref="I60:K60"/>
    <mergeCell ref="I61:K61"/>
    <mergeCell ref="I62:K62"/>
    <mergeCell ref="I63:K63"/>
    <mergeCell ref="I64:K64"/>
    <mergeCell ref="I65:K65"/>
    <mergeCell ref="F77:H77"/>
    <mergeCell ref="F78:H78"/>
    <mergeCell ref="I77:J77"/>
    <mergeCell ref="I78:J78"/>
    <mergeCell ref="F66:H66"/>
    <mergeCell ref="F73:H73"/>
    <mergeCell ref="I73:J73"/>
    <mergeCell ref="F74:H74"/>
    <mergeCell ref="I74:J74"/>
    <mergeCell ref="F71:H71"/>
    <mergeCell ref="I71:J71"/>
    <mergeCell ref="F72:H72"/>
    <mergeCell ref="I72:J72"/>
    <mergeCell ref="F95:H95"/>
    <mergeCell ref="I95:K95"/>
    <mergeCell ref="F96:H96"/>
    <mergeCell ref="I96:K96"/>
    <mergeCell ref="F97:H97"/>
    <mergeCell ref="I97:K97"/>
    <mergeCell ref="F98:H98"/>
    <mergeCell ref="I98:K98"/>
    <mergeCell ref="F99:H99"/>
    <mergeCell ref="I99:K99"/>
    <mergeCell ref="F100:H100"/>
    <mergeCell ref="I100:K100"/>
    <mergeCell ref="F121:H121"/>
    <mergeCell ref="I121:K121"/>
    <mergeCell ref="F113:H113"/>
    <mergeCell ref="F114:H114"/>
    <mergeCell ref="F115:H115"/>
    <mergeCell ref="F116:H116"/>
    <mergeCell ref="F117:H117"/>
    <mergeCell ref="I113:K113"/>
    <mergeCell ref="I114:K114"/>
    <mergeCell ref="I115:K115"/>
    <mergeCell ref="I116:K116"/>
    <mergeCell ref="I117:K117"/>
    <mergeCell ref="F118:H118"/>
    <mergeCell ref="I118:K118"/>
    <mergeCell ref="F119:H119"/>
    <mergeCell ref="I119:K119"/>
    <mergeCell ref="F111:H111"/>
    <mergeCell ref="I111:K111"/>
    <mergeCell ref="F112:H112"/>
    <mergeCell ref="I112:K112"/>
    <mergeCell ref="F109:H109"/>
    <mergeCell ref="I109:K109"/>
  </mergeCells>
  <printOptions horizontalCentered="1"/>
  <pageMargins left="0.15748031496062992" right="0.19685039370078741" top="0.78740157480314965" bottom="0.78740157480314965" header="0.15748031496062992" footer="0.31496062992125984"/>
  <pageSetup paperSize="9" scale="44" firstPageNumber="25" fitToHeight="0" orientation="landscape" useFirstPageNumber="1" r:id="rId1"/>
  <headerFooter scaleWithDoc="0">
    <oddFooter>&amp;C&amp;"-,Negrito itálico"Kaik Eduardo Silva Vilar
Engenheiro Civil
CREA: 241510947-9</oddFooter>
  </headerFooter>
  <rowBreaks count="2" manualBreakCount="2">
    <brk id="47" max="237" man="1"/>
    <brk id="86" max="237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V69"/>
  <sheetViews>
    <sheetView showGridLines="0" view="pageBreakPreview" zoomScale="85" zoomScaleNormal="115" zoomScaleSheetLayoutView="85" workbookViewId="0">
      <selection activeCell="A9" sqref="A9:O9"/>
    </sheetView>
  </sheetViews>
  <sheetFormatPr defaultColWidth="9" defaultRowHeight="15" x14ac:dyDescent="0.25"/>
  <cols>
    <col min="1" max="1" width="9.375" style="200" customWidth="1"/>
    <col min="2" max="2" width="5.25" style="200" customWidth="1"/>
    <col min="3" max="3" width="37.5" style="200" customWidth="1"/>
    <col min="4" max="4" width="14.5" style="200" bestFit="1" customWidth="1"/>
    <col min="5" max="5" width="15.125" style="200" customWidth="1"/>
    <col min="6" max="6" width="7.25" style="200" customWidth="1"/>
    <col min="7" max="7" width="5" style="201" customWidth="1"/>
    <col min="8" max="8" width="8.5" style="200" customWidth="1"/>
    <col min="9" max="9" width="7.25" style="200" hidden="1" customWidth="1"/>
    <col min="10" max="10" width="5" style="201" hidden="1" customWidth="1"/>
    <col min="11" max="11" width="7.25" style="200" hidden="1" customWidth="1"/>
    <col min="12" max="12" width="16.375" style="200" hidden="1" customWidth="1"/>
    <col min="13" max="15" width="16.375" style="200" customWidth="1"/>
    <col min="16" max="16" width="9.5" style="200" bestFit="1" customWidth="1"/>
    <col min="17" max="16384" width="9" style="200"/>
  </cols>
  <sheetData>
    <row r="1" spans="1:17" s="165" customFormat="1" ht="18.75" x14ac:dyDescent="0.2">
      <c r="A1" s="456" t="s">
        <v>170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</row>
    <row r="2" spans="1:17" s="165" customFormat="1" ht="15.75" x14ac:dyDescent="0.2">
      <c r="A2" s="325" t="s">
        <v>171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1:17" s="165" customFormat="1" ht="14.25" x14ac:dyDescent="0.2">
      <c r="A3" s="328" t="s">
        <v>172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</row>
    <row r="4" spans="1:17" s="165" customFormat="1" ht="14.25" x14ac:dyDescent="0.2">
      <c r="A4" s="328" t="s">
        <v>173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</row>
    <row r="5" spans="1:17" s="165" customFormat="1" x14ac:dyDescent="0.25">
      <c r="A5" s="24" t="s">
        <v>65</v>
      </c>
      <c r="B5" s="25" t="s">
        <v>66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4"/>
      <c r="P5" s="4"/>
      <c r="Q5" s="4"/>
    </row>
    <row r="6" spans="1:17" s="165" customFormat="1" ht="15" customHeight="1" x14ac:dyDescent="0.25">
      <c r="A6" s="24" t="s">
        <v>67</v>
      </c>
      <c r="B6" s="25" t="s">
        <v>68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4"/>
      <c r="P6" s="4"/>
      <c r="Q6" s="4"/>
    </row>
    <row r="7" spans="1:17" s="165" customFormat="1" x14ac:dyDescent="0.25">
      <c r="A7" s="24" t="s">
        <v>69</v>
      </c>
      <c r="B7" s="25" t="s">
        <v>170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4"/>
      <c r="P7" s="4"/>
      <c r="Q7" s="4"/>
    </row>
    <row r="8" spans="1:17" s="165" customFormat="1" x14ac:dyDescent="0.25">
      <c r="A8" s="24" t="s">
        <v>70</v>
      </c>
      <c r="B8" s="26" t="s">
        <v>411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4"/>
      <c r="Q8" s="4"/>
    </row>
    <row r="9" spans="1:17" s="165" customFormat="1" ht="22.5" customHeight="1" x14ac:dyDescent="0.2">
      <c r="A9" s="414" t="s">
        <v>264</v>
      </c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</row>
    <row r="10" spans="1:17" s="165" customFormat="1" ht="15.75" x14ac:dyDescent="0.2">
      <c r="A10" s="166" t="s">
        <v>128</v>
      </c>
      <c r="B10" s="167" t="s">
        <v>265</v>
      </c>
      <c r="C10" s="167"/>
      <c r="D10" s="167"/>
      <c r="E10" s="167"/>
      <c r="F10" s="167" t="s">
        <v>266</v>
      </c>
      <c r="G10" s="168"/>
      <c r="H10" s="169"/>
      <c r="I10" s="167" t="s">
        <v>267</v>
      </c>
      <c r="J10" s="168"/>
      <c r="K10" s="169"/>
      <c r="L10" s="169"/>
      <c r="M10" s="169"/>
      <c r="N10" s="169"/>
      <c r="O10" s="170"/>
    </row>
    <row r="11" spans="1:17" s="172" customFormat="1" ht="12.75" customHeight="1" x14ac:dyDescent="0.2">
      <c r="A11" s="416" t="s">
        <v>90</v>
      </c>
      <c r="B11" s="446" t="s">
        <v>177</v>
      </c>
      <c r="C11" s="447"/>
      <c r="D11" s="447"/>
      <c r="E11" s="447"/>
      <c r="F11" s="493" t="s">
        <v>74</v>
      </c>
      <c r="G11" s="494"/>
      <c r="H11" s="494"/>
      <c r="I11" s="493" t="s">
        <v>261</v>
      </c>
      <c r="J11" s="494"/>
      <c r="K11" s="495"/>
      <c r="L11" s="171" t="s">
        <v>262</v>
      </c>
      <c r="M11" s="189" t="s">
        <v>251</v>
      </c>
      <c r="N11" s="190"/>
      <c r="O11" s="192"/>
    </row>
    <row r="12" spans="1:17" s="172" customFormat="1" ht="12.75" x14ac:dyDescent="0.2">
      <c r="A12" s="417"/>
      <c r="B12" s="420"/>
      <c r="C12" s="421"/>
      <c r="D12" s="421"/>
      <c r="E12" s="421"/>
      <c r="F12" s="496" t="s">
        <v>263</v>
      </c>
      <c r="G12" s="497"/>
      <c r="H12" s="497"/>
      <c r="I12" s="496" t="s">
        <v>185</v>
      </c>
      <c r="J12" s="497"/>
      <c r="K12" s="498"/>
      <c r="L12" s="152" t="s">
        <v>185</v>
      </c>
      <c r="M12" s="193"/>
      <c r="N12" s="194"/>
      <c r="O12" s="195"/>
    </row>
    <row r="13" spans="1:17" s="172" customFormat="1" ht="20.100000000000001" customHeight="1" x14ac:dyDescent="0.2">
      <c r="A13" s="164">
        <v>1</v>
      </c>
      <c r="B13" s="173" t="s">
        <v>236</v>
      </c>
      <c r="C13" s="174"/>
      <c r="D13" s="174"/>
      <c r="E13" s="174"/>
      <c r="F13" s="481">
        <v>4</v>
      </c>
      <c r="G13" s="482"/>
      <c r="H13" s="483"/>
      <c r="I13" s="520">
        <v>0.36499999999999999</v>
      </c>
      <c r="J13" s="521"/>
      <c r="K13" s="522"/>
      <c r="L13" s="178">
        <v>0</v>
      </c>
      <c r="M13" s="193"/>
      <c r="N13" s="194"/>
      <c r="O13" s="195"/>
    </row>
    <row r="14" spans="1:17" s="172" customFormat="1" ht="20.100000000000001" customHeight="1" x14ac:dyDescent="0.2">
      <c r="A14" s="164">
        <v>2</v>
      </c>
      <c r="B14" s="173" t="s">
        <v>231</v>
      </c>
      <c r="C14" s="174"/>
      <c r="D14" s="174"/>
      <c r="E14" s="174"/>
      <c r="F14" s="481">
        <v>4</v>
      </c>
      <c r="G14" s="482"/>
      <c r="H14" s="483"/>
      <c r="I14" s="520"/>
      <c r="J14" s="521"/>
      <c r="K14" s="522"/>
      <c r="L14" s="178"/>
      <c r="M14" s="193"/>
      <c r="N14" s="194"/>
      <c r="O14" s="195"/>
    </row>
    <row r="15" spans="1:17" s="172" customFormat="1" ht="20.100000000000001" customHeight="1" x14ac:dyDescent="0.2">
      <c r="A15" s="164">
        <v>3</v>
      </c>
      <c r="B15" s="173" t="s">
        <v>237</v>
      </c>
      <c r="C15" s="174"/>
      <c r="D15" s="174"/>
      <c r="E15" s="174"/>
      <c r="F15" s="481">
        <v>0</v>
      </c>
      <c r="G15" s="482"/>
      <c r="H15" s="483"/>
      <c r="I15" s="520"/>
      <c r="J15" s="521"/>
      <c r="K15" s="522"/>
      <c r="L15" s="178"/>
      <c r="M15" s="193"/>
      <c r="N15" s="194"/>
      <c r="O15" s="195"/>
    </row>
    <row r="16" spans="1:17" s="172" customFormat="1" ht="20.100000000000001" customHeight="1" x14ac:dyDescent="0.2">
      <c r="A16" s="164">
        <v>4</v>
      </c>
      <c r="B16" s="173" t="s">
        <v>238</v>
      </c>
      <c r="C16" s="174"/>
      <c r="D16" s="174"/>
      <c r="E16" s="174"/>
      <c r="F16" s="481">
        <v>0</v>
      </c>
      <c r="G16" s="482"/>
      <c r="H16" s="483"/>
      <c r="I16" s="520"/>
      <c r="J16" s="521"/>
      <c r="K16" s="522"/>
      <c r="L16" s="178"/>
      <c r="M16" s="193"/>
      <c r="N16" s="194"/>
      <c r="O16" s="195"/>
    </row>
    <row r="17" spans="1:230" s="172" customFormat="1" ht="20.100000000000001" customHeight="1" x14ac:dyDescent="0.2">
      <c r="A17" s="164">
        <v>5</v>
      </c>
      <c r="B17" s="173" t="s">
        <v>232</v>
      </c>
      <c r="C17" s="174"/>
      <c r="D17" s="174"/>
      <c r="E17" s="174"/>
      <c r="F17" s="481">
        <v>4</v>
      </c>
      <c r="G17" s="482"/>
      <c r="H17" s="483"/>
      <c r="I17" s="520"/>
      <c r="J17" s="521"/>
      <c r="K17" s="522"/>
      <c r="L17" s="178"/>
      <c r="M17" s="193"/>
      <c r="N17" s="194"/>
      <c r="O17" s="195"/>
    </row>
    <row r="18" spans="1:230" s="172" customFormat="1" ht="20.100000000000001" customHeight="1" x14ac:dyDescent="0.2">
      <c r="A18" s="164">
        <v>6</v>
      </c>
      <c r="B18" s="173" t="s">
        <v>239</v>
      </c>
      <c r="C18" s="174"/>
      <c r="D18" s="174"/>
      <c r="E18" s="174"/>
      <c r="F18" s="481">
        <v>4</v>
      </c>
      <c r="G18" s="482"/>
      <c r="H18" s="483"/>
      <c r="I18" s="520"/>
      <c r="J18" s="521"/>
      <c r="K18" s="522"/>
      <c r="L18" s="178"/>
      <c r="M18" s="193"/>
      <c r="N18" s="194"/>
      <c r="O18" s="195"/>
    </row>
    <row r="19" spans="1:230" s="172" customFormat="1" ht="20.100000000000001" customHeight="1" x14ac:dyDescent="0.2">
      <c r="A19" s="164">
        <v>7</v>
      </c>
      <c r="B19" s="173" t="s">
        <v>240</v>
      </c>
      <c r="C19" s="174"/>
      <c r="D19" s="174"/>
      <c r="E19" s="174"/>
      <c r="F19" s="481">
        <v>2</v>
      </c>
      <c r="G19" s="482"/>
      <c r="H19" s="483"/>
      <c r="I19" s="520"/>
      <c r="J19" s="521"/>
      <c r="K19" s="522"/>
      <c r="L19" s="178"/>
      <c r="M19" s="193"/>
      <c r="N19" s="194"/>
      <c r="O19" s="195"/>
    </row>
    <row r="20" spans="1:230" s="172" customFormat="1" ht="20.100000000000001" customHeight="1" x14ac:dyDescent="0.2">
      <c r="A20" s="164">
        <v>8</v>
      </c>
      <c r="B20" s="173" t="s">
        <v>234</v>
      </c>
      <c r="C20" s="174"/>
      <c r="D20" s="174"/>
      <c r="E20" s="174"/>
      <c r="F20" s="481">
        <v>0</v>
      </c>
      <c r="G20" s="482"/>
      <c r="H20" s="483"/>
      <c r="I20" s="212"/>
      <c r="J20" s="213"/>
      <c r="K20" s="214"/>
      <c r="L20" s="178"/>
      <c r="M20" s="193"/>
      <c r="N20" s="194"/>
      <c r="O20" s="195"/>
    </row>
    <row r="21" spans="1:230" s="172" customFormat="1" ht="20.100000000000001" customHeight="1" x14ac:dyDescent="0.2">
      <c r="A21" s="164">
        <v>9</v>
      </c>
      <c r="B21" s="173" t="s">
        <v>235</v>
      </c>
      <c r="C21" s="174"/>
      <c r="D21" s="174"/>
      <c r="E21" s="174"/>
      <c r="F21" s="481">
        <v>2</v>
      </c>
      <c r="G21" s="482"/>
      <c r="H21" s="483"/>
      <c r="I21" s="212"/>
      <c r="J21" s="213"/>
      <c r="K21" s="214"/>
      <c r="L21" s="178"/>
      <c r="M21" s="193"/>
      <c r="N21" s="194"/>
      <c r="O21" s="195"/>
    </row>
    <row r="22" spans="1:230" s="172" customFormat="1" ht="20.100000000000001" customHeight="1" x14ac:dyDescent="0.2">
      <c r="A22" s="164">
        <v>10</v>
      </c>
      <c r="B22" s="173" t="s">
        <v>233</v>
      </c>
      <c r="C22" s="174"/>
      <c r="D22" s="174"/>
      <c r="E22" s="174"/>
      <c r="F22" s="481">
        <v>0</v>
      </c>
      <c r="G22" s="482"/>
      <c r="H22" s="483"/>
      <c r="I22" s="212"/>
      <c r="J22" s="213"/>
      <c r="K22" s="214"/>
      <c r="L22" s="178"/>
      <c r="M22" s="193"/>
      <c r="N22" s="194"/>
      <c r="O22" s="195"/>
    </row>
    <row r="23" spans="1:230" s="172" customFormat="1" ht="20.100000000000001" customHeight="1" x14ac:dyDescent="0.2">
      <c r="A23" s="164">
        <v>11</v>
      </c>
      <c r="B23" s="173" t="s">
        <v>239</v>
      </c>
      <c r="C23" s="174"/>
      <c r="D23" s="174"/>
      <c r="E23" s="174"/>
      <c r="F23" s="481">
        <v>2</v>
      </c>
      <c r="G23" s="482"/>
      <c r="H23" s="483"/>
      <c r="I23" s="212"/>
      <c r="J23" s="213"/>
      <c r="K23" s="214"/>
      <c r="L23" s="178"/>
      <c r="M23" s="193"/>
      <c r="N23" s="194"/>
      <c r="O23" s="195"/>
    </row>
    <row r="24" spans="1:230" s="172" customFormat="1" ht="20.100000000000001" customHeight="1" x14ac:dyDescent="0.2">
      <c r="A24" s="164">
        <v>12</v>
      </c>
      <c r="B24" s="173" t="s">
        <v>387</v>
      </c>
      <c r="C24" s="174"/>
      <c r="D24" s="174"/>
      <c r="E24" s="174"/>
      <c r="F24" s="481">
        <v>1</v>
      </c>
      <c r="G24" s="482"/>
      <c r="H24" s="483"/>
      <c r="I24" s="212"/>
      <c r="J24" s="213"/>
      <c r="K24" s="214"/>
      <c r="L24" s="178"/>
      <c r="M24" s="193"/>
      <c r="N24" s="194"/>
      <c r="O24" s="195"/>
    </row>
    <row r="25" spans="1:230" s="172" customFormat="1" ht="20.100000000000001" customHeight="1" x14ac:dyDescent="0.2">
      <c r="A25" s="164">
        <v>13</v>
      </c>
      <c r="B25" s="173" t="s">
        <v>186</v>
      </c>
      <c r="C25" s="174"/>
      <c r="D25" s="174"/>
      <c r="E25" s="174"/>
      <c r="F25" s="481">
        <v>2</v>
      </c>
      <c r="G25" s="482"/>
      <c r="H25" s="483"/>
      <c r="I25" s="212"/>
      <c r="J25" s="213"/>
      <c r="K25" s="214"/>
      <c r="L25" s="178"/>
      <c r="M25" s="193"/>
      <c r="N25" s="194"/>
      <c r="O25" s="195"/>
    </row>
    <row r="26" spans="1:230" s="172" customFormat="1" ht="20.100000000000001" customHeight="1" x14ac:dyDescent="0.2">
      <c r="A26" s="164">
        <v>14</v>
      </c>
      <c r="B26" s="173" t="s">
        <v>188</v>
      </c>
      <c r="C26" s="174"/>
      <c r="D26" s="174"/>
      <c r="E26" s="174"/>
      <c r="F26" s="481">
        <v>0</v>
      </c>
      <c r="G26" s="482"/>
      <c r="H26" s="483"/>
      <c r="I26" s="520"/>
      <c r="J26" s="521"/>
      <c r="K26" s="522"/>
      <c r="L26" s="178"/>
      <c r="M26" s="193"/>
      <c r="N26" s="194"/>
      <c r="O26" s="195"/>
    </row>
    <row r="27" spans="1:230" s="179" customFormat="1" ht="20.100000000000001" customHeight="1" x14ac:dyDescent="0.2">
      <c r="A27" s="452" t="s">
        <v>187</v>
      </c>
      <c r="B27" s="453"/>
      <c r="C27" s="453"/>
      <c r="D27" s="453"/>
      <c r="E27" s="453"/>
      <c r="F27" s="516">
        <f>SUM(F13:H26)</f>
        <v>25</v>
      </c>
      <c r="G27" s="517"/>
      <c r="H27" s="518"/>
      <c r="I27" s="440"/>
      <c r="J27" s="441"/>
      <c r="K27" s="519"/>
      <c r="L27" s="156">
        <v>0</v>
      </c>
      <c r="M27" s="196"/>
      <c r="N27" s="197"/>
      <c r="O27" s="199"/>
      <c r="P27" s="158">
        <f>F27</f>
        <v>25</v>
      </c>
      <c r="Q27" s="159"/>
      <c r="R27" s="157"/>
      <c r="S27" s="157"/>
      <c r="T27" s="157"/>
      <c r="U27" s="157"/>
      <c r="V27" s="158"/>
      <c r="W27" s="159"/>
      <c r="X27" s="157"/>
      <c r="Y27" s="157"/>
      <c r="Z27" s="157"/>
      <c r="AA27" s="157"/>
      <c r="AB27" s="158"/>
      <c r="AC27" s="159"/>
      <c r="AD27" s="157"/>
      <c r="AE27" s="157"/>
      <c r="AF27" s="157"/>
      <c r="AG27" s="157"/>
      <c r="AH27" s="158"/>
      <c r="AI27" s="159"/>
      <c r="AJ27" s="157"/>
      <c r="AK27" s="157"/>
      <c r="AL27" s="157"/>
      <c r="AM27" s="157"/>
      <c r="AN27" s="158"/>
      <c r="AO27" s="159"/>
      <c r="AP27" s="157"/>
      <c r="AQ27" s="157"/>
      <c r="AR27" s="157"/>
      <c r="AS27" s="157"/>
      <c r="AT27" s="158"/>
      <c r="AU27" s="159"/>
      <c r="AV27" s="157"/>
      <c r="AW27" s="157"/>
      <c r="AX27" s="157"/>
      <c r="AY27" s="157"/>
      <c r="AZ27" s="158"/>
      <c r="BA27" s="159"/>
      <c r="BB27" s="157"/>
      <c r="BC27" s="157"/>
      <c r="BD27" s="157"/>
      <c r="BE27" s="157"/>
      <c r="BF27" s="158"/>
      <c r="BG27" s="159"/>
      <c r="BH27" s="157"/>
      <c r="BI27" s="157"/>
      <c r="BJ27" s="157"/>
      <c r="BK27" s="157"/>
      <c r="BL27" s="158"/>
      <c r="BM27" s="159"/>
      <c r="BN27" s="157"/>
      <c r="BO27" s="157"/>
      <c r="BP27" s="157"/>
      <c r="BQ27" s="157"/>
      <c r="BR27" s="158"/>
      <c r="BS27" s="159"/>
      <c r="BT27" s="157"/>
      <c r="BU27" s="157"/>
      <c r="BV27" s="157"/>
      <c r="BW27" s="157"/>
      <c r="BX27" s="158"/>
      <c r="BY27" s="159"/>
      <c r="BZ27" s="157"/>
      <c r="CA27" s="157"/>
      <c r="CB27" s="157"/>
      <c r="CC27" s="157"/>
      <c r="CD27" s="158"/>
      <c r="CE27" s="159"/>
      <c r="CF27" s="157"/>
      <c r="CG27" s="157"/>
      <c r="CH27" s="157"/>
      <c r="CI27" s="157"/>
      <c r="CJ27" s="158"/>
      <c r="CK27" s="159"/>
      <c r="CL27" s="157"/>
      <c r="CM27" s="157"/>
      <c r="CN27" s="157"/>
      <c r="CO27" s="157"/>
      <c r="CP27" s="158"/>
      <c r="CQ27" s="159"/>
      <c r="CR27" s="157"/>
      <c r="CS27" s="157"/>
      <c r="CT27" s="157"/>
      <c r="CU27" s="157"/>
      <c r="CV27" s="158"/>
      <c r="CW27" s="159"/>
      <c r="CX27" s="157"/>
      <c r="CY27" s="157"/>
      <c r="CZ27" s="157"/>
      <c r="DA27" s="157"/>
      <c r="DB27" s="158"/>
      <c r="DC27" s="159"/>
      <c r="DD27" s="157"/>
      <c r="DE27" s="157"/>
      <c r="DF27" s="157"/>
      <c r="DG27" s="157"/>
      <c r="DH27" s="158"/>
      <c r="DI27" s="159"/>
      <c r="DJ27" s="157"/>
      <c r="DK27" s="157"/>
      <c r="DL27" s="157"/>
      <c r="DM27" s="157"/>
      <c r="DN27" s="158"/>
      <c r="DO27" s="159"/>
      <c r="DP27" s="157"/>
      <c r="DQ27" s="157"/>
      <c r="DR27" s="157"/>
      <c r="DS27" s="157"/>
      <c r="DT27" s="158"/>
      <c r="DU27" s="159"/>
      <c r="DV27" s="157"/>
      <c r="DW27" s="157"/>
      <c r="DX27" s="157"/>
      <c r="DY27" s="157"/>
      <c r="DZ27" s="158"/>
      <c r="EA27" s="159"/>
      <c r="EB27" s="157"/>
      <c r="EC27" s="157"/>
      <c r="ED27" s="157"/>
      <c r="EE27" s="157"/>
      <c r="EF27" s="158"/>
      <c r="EG27" s="159"/>
      <c r="EH27" s="157"/>
      <c r="EI27" s="157"/>
      <c r="EJ27" s="157"/>
      <c r="EK27" s="157"/>
      <c r="EL27" s="158"/>
      <c r="EM27" s="159"/>
      <c r="EN27" s="157"/>
      <c r="EO27" s="157"/>
      <c r="EP27" s="157"/>
      <c r="EQ27" s="157"/>
      <c r="ER27" s="158"/>
      <c r="ES27" s="159"/>
      <c r="ET27" s="157"/>
      <c r="EU27" s="157"/>
      <c r="EV27" s="157"/>
      <c r="EW27" s="157"/>
      <c r="EX27" s="158"/>
      <c r="EY27" s="159"/>
      <c r="EZ27" s="157"/>
      <c r="FA27" s="157"/>
      <c r="FB27" s="157"/>
      <c r="FC27" s="157"/>
      <c r="FD27" s="158"/>
      <c r="FE27" s="159"/>
      <c r="FF27" s="157"/>
      <c r="FG27" s="157"/>
      <c r="FH27" s="157"/>
      <c r="FI27" s="157"/>
      <c r="FJ27" s="158"/>
      <c r="FK27" s="159"/>
      <c r="FL27" s="157"/>
      <c r="FM27" s="157"/>
      <c r="FN27" s="157"/>
      <c r="FO27" s="157"/>
      <c r="FP27" s="158"/>
      <c r="FQ27" s="159"/>
      <c r="FR27" s="157"/>
      <c r="FS27" s="157"/>
      <c r="FT27" s="157"/>
      <c r="FU27" s="157"/>
      <c r="FV27" s="158"/>
      <c r="FW27" s="159"/>
      <c r="FX27" s="157"/>
      <c r="FY27" s="157"/>
      <c r="FZ27" s="157"/>
      <c r="GA27" s="157"/>
      <c r="GB27" s="158"/>
      <c r="GC27" s="159"/>
      <c r="GD27" s="157"/>
      <c r="GE27" s="157"/>
      <c r="GF27" s="157"/>
      <c r="GG27" s="157"/>
      <c r="GH27" s="158"/>
      <c r="GI27" s="159"/>
      <c r="GJ27" s="157"/>
      <c r="GK27" s="157"/>
      <c r="GL27" s="157"/>
      <c r="GM27" s="157"/>
      <c r="GN27" s="158"/>
      <c r="GO27" s="159"/>
      <c r="GP27" s="157"/>
      <c r="GQ27" s="157"/>
      <c r="GR27" s="157"/>
      <c r="GS27" s="157"/>
      <c r="GT27" s="158"/>
      <c r="GU27" s="159"/>
      <c r="GV27" s="157"/>
      <c r="GW27" s="157"/>
      <c r="GX27" s="157"/>
      <c r="GY27" s="157"/>
      <c r="GZ27" s="158"/>
      <c r="HA27" s="159"/>
      <c r="HB27" s="157"/>
      <c r="HC27" s="157"/>
      <c r="HD27" s="157"/>
      <c r="HE27" s="157"/>
      <c r="HF27" s="158"/>
      <c r="HG27" s="159"/>
      <c r="HH27" s="157"/>
      <c r="HI27" s="157"/>
      <c r="HJ27" s="157"/>
      <c r="HK27" s="157"/>
      <c r="HL27" s="158"/>
      <c r="HM27" s="159"/>
      <c r="HN27" s="157"/>
      <c r="HO27" s="157"/>
      <c r="HP27" s="157"/>
      <c r="HQ27" s="157"/>
      <c r="HR27" s="158"/>
      <c r="HS27" s="159"/>
      <c r="HT27" s="157"/>
      <c r="HU27" s="157"/>
      <c r="HV27" s="157"/>
    </row>
    <row r="28" spans="1:230" x14ac:dyDescent="0.25">
      <c r="H28" s="187"/>
      <c r="K28" s="187"/>
      <c r="L28" s="187"/>
      <c r="M28" s="187"/>
      <c r="N28" s="187"/>
      <c r="O28" s="187"/>
    </row>
    <row r="29" spans="1:230" s="165" customFormat="1" ht="15.75" x14ac:dyDescent="0.2">
      <c r="A29" s="166" t="s">
        <v>128</v>
      </c>
      <c r="B29" s="167" t="s">
        <v>268</v>
      </c>
      <c r="C29" s="167"/>
      <c r="D29" s="167"/>
      <c r="E29" s="167"/>
      <c r="F29" s="167" t="s">
        <v>266</v>
      </c>
      <c r="G29" s="168"/>
      <c r="H29" s="169"/>
      <c r="I29" s="167" t="s">
        <v>269</v>
      </c>
      <c r="J29" s="168"/>
      <c r="K29" s="169"/>
      <c r="L29" s="169"/>
      <c r="M29" s="169"/>
      <c r="N29" s="169"/>
      <c r="O29" s="170"/>
    </row>
    <row r="30" spans="1:230" s="172" customFormat="1" ht="12.75" customHeight="1" x14ac:dyDescent="0.2">
      <c r="A30" s="416" t="s">
        <v>90</v>
      </c>
      <c r="B30" s="446" t="s">
        <v>177</v>
      </c>
      <c r="C30" s="447"/>
      <c r="D30" s="447"/>
      <c r="E30" s="447"/>
      <c r="F30" s="493" t="s">
        <v>74</v>
      </c>
      <c r="G30" s="494"/>
      <c r="H30" s="494"/>
      <c r="I30" s="493" t="s">
        <v>261</v>
      </c>
      <c r="J30" s="494"/>
      <c r="K30" s="495"/>
      <c r="L30" s="171" t="s">
        <v>262</v>
      </c>
      <c r="M30" s="189" t="s">
        <v>251</v>
      </c>
      <c r="N30" s="190"/>
      <c r="O30" s="192"/>
    </row>
    <row r="31" spans="1:230" s="172" customFormat="1" ht="12.75" x14ac:dyDescent="0.2">
      <c r="A31" s="417"/>
      <c r="B31" s="420"/>
      <c r="C31" s="421"/>
      <c r="D31" s="421"/>
      <c r="E31" s="421"/>
      <c r="F31" s="496" t="s">
        <v>263</v>
      </c>
      <c r="G31" s="497"/>
      <c r="H31" s="497"/>
      <c r="I31" s="496" t="s">
        <v>185</v>
      </c>
      <c r="J31" s="497"/>
      <c r="K31" s="498"/>
      <c r="L31" s="152" t="s">
        <v>185</v>
      </c>
      <c r="M31" s="193"/>
      <c r="N31" s="194"/>
      <c r="O31" s="195"/>
    </row>
    <row r="32" spans="1:230" s="172" customFormat="1" ht="20.100000000000001" customHeight="1" x14ac:dyDescent="0.2">
      <c r="A32" s="164">
        <v>1</v>
      </c>
      <c r="B32" s="173" t="str">
        <f>B13</f>
        <v>ALAMEDA DAS GARRINCHAS</v>
      </c>
      <c r="C32" s="174"/>
      <c r="D32" s="174"/>
      <c r="E32" s="174"/>
      <c r="F32" s="481">
        <v>2</v>
      </c>
      <c r="G32" s="482"/>
      <c r="H32" s="483"/>
      <c r="I32" s="513">
        <v>0.16</v>
      </c>
      <c r="J32" s="514"/>
      <c r="K32" s="515"/>
      <c r="L32" s="178">
        <v>0.64</v>
      </c>
      <c r="M32" s="193"/>
      <c r="N32" s="194"/>
      <c r="O32" s="195"/>
    </row>
    <row r="33" spans="1:230" s="172" customFormat="1" ht="20.100000000000001" customHeight="1" x14ac:dyDescent="0.2">
      <c r="A33" s="164">
        <v>2</v>
      </c>
      <c r="B33" s="173" t="str">
        <f t="shared" ref="B33:B45" si="0">B14</f>
        <v>RUA MARIA DE LOURDES VIEIRA</v>
      </c>
      <c r="C33" s="174"/>
      <c r="D33" s="174"/>
      <c r="E33" s="174"/>
      <c r="F33" s="481">
        <v>2</v>
      </c>
      <c r="G33" s="482"/>
      <c r="H33" s="483"/>
      <c r="I33" s="513"/>
      <c r="J33" s="514"/>
      <c r="K33" s="515"/>
      <c r="L33" s="178"/>
      <c r="M33" s="193"/>
      <c r="N33" s="194"/>
      <c r="O33" s="195"/>
    </row>
    <row r="34" spans="1:230" s="172" customFormat="1" ht="20.100000000000001" customHeight="1" x14ac:dyDescent="0.2">
      <c r="A34" s="164">
        <v>3</v>
      </c>
      <c r="B34" s="173" t="str">
        <f t="shared" si="0"/>
        <v>AV. JUVENTINO CIPRIANO DA EXALTAÇÃO</v>
      </c>
      <c r="C34" s="174"/>
      <c r="D34" s="174"/>
      <c r="E34" s="174"/>
      <c r="F34" s="481">
        <v>0</v>
      </c>
      <c r="G34" s="482"/>
      <c r="H34" s="483"/>
      <c r="I34" s="206"/>
      <c r="J34" s="207"/>
      <c r="K34" s="208"/>
      <c r="L34" s="178"/>
      <c r="M34" s="193"/>
      <c r="N34" s="194"/>
      <c r="O34" s="195"/>
    </row>
    <row r="35" spans="1:230" s="172" customFormat="1" ht="20.100000000000001" customHeight="1" x14ac:dyDescent="0.2">
      <c r="A35" s="164">
        <v>4</v>
      </c>
      <c r="B35" s="173" t="str">
        <f t="shared" si="0"/>
        <v>AV. DRº RUI EVANGELISTA DA EXALTAÇÃO</v>
      </c>
      <c r="C35" s="174"/>
      <c r="D35" s="174"/>
      <c r="E35" s="174"/>
      <c r="F35" s="481">
        <v>2</v>
      </c>
      <c r="G35" s="482"/>
      <c r="H35" s="483"/>
      <c r="I35" s="206"/>
      <c r="J35" s="207"/>
      <c r="K35" s="208"/>
      <c r="L35" s="178"/>
      <c r="M35" s="193"/>
      <c r="N35" s="194"/>
      <c r="O35" s="195"/>
    </row>
    <row r="36" spans="1:230" s="172" customFormat="1" ht="20.100000000000001" customHeight="1" x14ac:dyDescent="0.2">
      <c r="A36" s="164">
        <v>5</v>
      </c>
      <c r="B36" s="173" t="str">
        <f t="shared" si="0"/>
        <v>RUA MIRO HENRIQUE VIEIRA FREIRE</v>
      </c>
      <c r="C36" s="174"/>
      <c r="D36" s="174"/>
      <c r="E36" s="174"/>
      <c r="F36" s="481">
        <v>2</v>
      </c>
      <c r="G36" s="482"/>
      <c r="H36" s="483"/>
      <c r="I36" s="206"/>
      <c r="J36" s="207"/>
      <c r="K36" s="208"/>
      <c r="L36" s="178"/>
      <c r="M36" s="193"/>
      <c r="N36" s="194"/>
      <c r="O36" s="195"/>
    </row>
    <row r="37" spans="1:230" s="172" customFormat="1" ht="20.100000000000001" customHeight="1" x14ac:dyDescent="0.2">
      <c r="A37" s="164">
        <v>6</v>
      </c>
      <c r="B37" s="173" t="str">
        <f t="shared" si="0"/>
        <v>RUA MARIA MARTA VIEIRA</v>
      </c>
      <c r="C37" s="174"/>
      <c r="D37" s="174"/>
      <c r="E37" s="174"/>
      <c r="F37" s="481">
        <v>2</v>
      </c>
      <c r="G37" s="482"/>
      <c r="H37" s="483"/>
      <c r="I37" s="206"/>
      <c r="J37" s="207"/>
      <c r="K37" s="208"/>
      <c r="L37" s="178"/>
      <c r="M37" s="193"/>
      <c r="N37" s="194"/>
      <c r="O37" s="195"/>
    </row>
    <row r="38" spans="1:230" s="172" customFormat="1" ht="20.100000000000001" customHeight="1" x14ac:dyDescent="0.2">
      <c r="A38" s="164">
        <v>7</v>
      </c>
      <c r="B38" s="173" t="str">
        <f t="shared" si="0"/>
        <v>AV. DIONITA JUVENAL DA EXALTAÇÃO</v>
      </c>
      <c r="C38" s="174"/>
      <c r="D38" s="174"/>
      <c r="E38" s="174"/>
      <c r="F38" s="481">
        <v>0</v>
      </c>
      <c r="G38" s="482"/>
      <c r="H38" s="483"/>
      <c r="I38" s="206"/>
      <c r="J38" s="207"/>
      <c r="K38" s="208"/>
      <c r="L38" s="178"/>
      <c r="M38" s="193"/>
      <c r="N38" s="194"/>
      <c r="O38" s="195"/>
    </row>
    <row r="39" spans="1:230" s="172" customFormat="1" ht="20.100000000000001" customHeight="1" x14ac:dyDescent="0.2">
      <c r="A39" s="164">
        <v>8</v>
      </c>
      <c r="B39" s="173" t="str">
        <f t="shared" si="0"/>
        <v>AV. EDUARDO VIEIRA</v>
      </c>
      <c r="C39" s="174"/>
      <c r="D39" s="174"/>
      <c r="E39" s="174"/>
      <c r="F39" s="481">
        <v>1</v>
      </c>
      <c r="G39" s="482"/>
      <c r="H39" s="483"/>
      <c r="I39" s="206"/>
      <c r="J39" s="207"/>
      <c r="K39" s="208"/>
      <c r="L39" s="178"/>
      <c r="M39" s="193"/>
      <c r="N39" s="194"/>
      <c r="O39" s="195"/>
    </row>
    <row r="40" spans="1:230" s="172" customFormat="1" ht="20.100000000000001" customHeight="1" x14ac:dyDescent="0.2">
      <c r="A40" s="164">
        <v>9</v>
      </c>
      <c r="B40" s="173" t="str">
        <f t="shared" si="0"/>
        <v>TRAVESSA A</v>
      </c>
      <c r="C40" s="174"/>
      <c r="D40" s="174"/>
      <c r="E40" s="174"/>
      <c r="F40" s="481">
        <v>0</v>
      </c>
      <c r="G40" s="482"/>
      <c r="H40" s="483"/>
      <c r="I40" s="513"/>
      <c r="J40" s="514"/>
      <c r="K40" s="515"/>
      <c r="L40" s="178"/>
      <c r="M40" s="193"/>
      <c r="N40" s="194"/>
      <c r="O40" s="195"/>
    </row>
    <row r="41" spans="1:230" s="172" customFormat="1" ht="20.100000000000001" customHeight="1" x14ac:dyDescent="0.2">
      <c r="A41" s="164">
        <v>10</v>
      </c>
      <c r="B41" s="173" t="str">
        <f t="shared" si="0"/>
        <v>RUA CAETÊ</v>
      </c>
      <c r="C41" s="174"/>
      <c r="D41" s="174"/>
      <c r="E41" s="174"/>
      <c r="F41" s="481">
        <v>1</v>
      </c>
      <c r="G41" s="482"/>
      <c r="H41" s="483"/>
      <c r="I41" s="513"/>
      <c r="J41" s="514"/>
      <c r="K41" s="515"/>
      <c r="L41" s="178"/>
      <c r="M41" s="193"/>
      <c r="N41" s="194"/>
      <c r="O41" s="195"/>
    </row>
    <row r="42" spans="1:230" s="172" customFormat="1" ht="20.100000000000001" customHeight="1" x14ac:dyDescent="0.2">
      <c r="A42" s="164">
        <v>11</v>
      </c>
      <c r="B42" s="173" t="str">
        <f t="shared" si="0"/>
        <v>RUA MARIA MARTA VIEIRA</v>
      </c>
      <c r="C42" s="174"/>
      <c r="D42" s="174"/>
      <c r="E42" s="174"/>
      <c r="F42" s="481">
        <v>2</v>
      </c>
      <c r="G42" s="482"/>
      <c r="H42" s="483"/>
      <c r="I42" s="513"/>
      <c r="J42" s="514"/>
      <c r="K42" s="515"/>
      <c r="L42" s="178"/>
      <c r="M42" s="193"/>
      <c r="N42" s="194"/>
      <c r="O42" s="195"/>
    </row>
    <row r="43" spans="1:230" s="172" customFormat="1" ht="20.100000000000001" customHeight="1" x14ac:dyDescent="0.2">
      <c r="A43" s="164">
        <v>12</v>
      </c>
      <c r="B43" s="173" t="str">
        <f t="shared" si="0"/>
        <v>RUA 02</v>
      </c>
      <c r="C43" s="174"/>
      <c r="D43" s="174"/>
      <c r="E43" s="174"/>
      <c r="F43" s="481">
        <v>0</v>
      </c>
      <c r="G43" s="482"/>
      <c r="H43" s="483"/>
      <c r="I43" s="513"/>
      <c r="J43" s="514"/>
      <c r="K43" s="515"/>
      <c r="L43" s="178"/>
      <c r="M43" s="193"/>
      <c r="N43" s="194"/>
      <c r="O43" s="195"/>
    </row>
    <row r="44" spans="1:230" s="172" customFormat="1" ht="20.100000000000001" customHeight="1" x14ac:dyDescent="0.2">
      <c r="A44" s="164">
        <v>13</v>
      </c>
      <c r="B44" s="173" t="str">
        <f t="shared" si="0"/>
        <v>RUA E</v>
      </c>
      <c r="C44" s="174"/>
      <c r="D44" s="174"/>
      <c r="E44" s="174"/>
      <c r="F44" s="481">
        <v>1</v>
      </c>
      <c r="G44" s="482"/>
      <c r="H44" s="483"/>
      <c r="I44" s="513"/>
      <c r="J44" s="514"/>
      <c r="K44" s="515"/>
      <c r="L44" s="178"/>
      <c r="M44" s="193"/>
      <c r="N44" s="194"/>
      <c r="O44" s="195"/>
    </row>
    <row r="45" spans="1:230" s="172" customFormat="1" ht="20.100000000000001" customHeight="1" x14ac:dyDescent="0.2">
      <c r="A45" s="164">
        <v>14</v>
      </c>
      <c r="B45" s="173" t="str">
        <f t="shared" si="0"/>
        <v>TV ALTO PARAISO</v>
      </c>
      <c r="C45" s="174"/>
      <c r="D45" s="174"/>
      <c r="E45" s="174"/>
      <c r="F45" s="481">
        <v>0</v>
      </c>
      <c r="G45" s="482"/>
      <c r="H45" s="483"/>
      <c r="I45" s="513"/>
      <c r="J45" s="514"/>
      <c r="K45" s="515"/>
      <c r="L45" s="178"/>
      <c r="M45" s="193"/>
      <c r="N45" s="194"/>
      <c r="O45" s="195"/>
    </row>
    <row r="46" spans="1:230" s="179" customFormat="1" ht="20.100000000000001" customHeight="1" x14ac:dyDescent="0.2">
      <c r="A46" s="452" t="s">
        <v>187</v>
      </c>
      <c r="B46" s="453"/>
      <c r="C46" s="453"/>
      <c r="D46" s="453"/>
      <c r="E46" s="453"/>
      <c r="F46" s="516">
        <f>SUM(F32:H45)</f>
        <v>15</v>
      </c>
      <c r="G46" s="517"/>
      <c r="H46" s="518"/>
      <c r="I46" s="440"/>
      <c r="J46" s="441"/>
      <c r="K46" s="519"/>
      <c r="L46" s="156">
        <v>0.64</v>
      </c>
      <c r="M46" s="196"/>
      <c r="N46" s="197"/>
      <c r="O46" s="199"/>
      <c r="P46" s="158">
        <f>F46</f>
        <v>15</v>
      </c>
      <c r="Q46" s="159"/>
      <c r="R46" s="157"/>
      <c r="S46" s="157"/>
      <c r="T46" s="157"/>
      <c r="U46" s="157"/>
      <c r="V46" s="158"/>
      <c r="W46" s="159"/>
      <c r="X46" s="157"/>
      <c r="Y46" s="157"/>
      <c r="Z46" s="157"/>
      <c r="AA46" s="157"/>
      <c r="AB46" s="158"/>
      <c r="AC46" s="159"/>
      <c r="AD46" s="157"/>
      <c r="AE46" s="157"/>
      <c r="AF46" s="157"/>
      <c r="AG46" s="157"/>
      <c r="AH46" s="158"/>
      <c r="AI46" s="159"/>
      <c r="AJ46" s="157"/>
      <c r="AK46" s="157"/>
      <c r="AL46" s="157"/>
      <c r="AM46" s="157"/>
      <c r="AN46" s="158"/>
      <c r="AO46" s="159"/>
      <c r="AP46" s="157"/>
      <c r="AQ46" s="157"/>
      <c r="AR46" s="157"/>
      <c r="AS46" s="157"/>
      <c r="AT46" s="158"/>
      <c r="AU46" s="159"/>
      <c r="AV46" s="157"/>
      <c r="AW46" s="157"/>
      <c r="AX46" s="157"/>
      <c r="AY46" s="157"/>
      <c r="AZ46" s="158"/>
      <c r="BA46" s="159"/>
      <c r="BB46" s="157"/>
      <c r="BC46" s="157"/>
      <c r="BD46" s="157"/>
      <c r="BE46" s="157"/>
      <c r="BF46" s="158"/>
      <c r="BG46" s="159"/>
      <c r="BH46" s="157"/>
      <c r="BI46" s="157"/>
      <c r="BJ46" s="157"/>
      <c r="BK46" s="157"/>
      <c r="BL46" s="158"/>
      <c r="BM46" s="159"/>
      <c r="BN46" s="157"/>
      <c r="BO46" s="157"/>
      <c r="BP46" s="157"/>
      <c r="BQ46" s="157"/>
      <c r="BR46" s="158"/>
      <c r="BS46" s="159"/>
      <c r="BT46" s="157"/>
      <c r="BU46" s="157"/>
      <c r="BV46" s="157"/>
      <c r="BW46" s="157"/>
      <c r="BX46" s="158"/>
      <c r="BY46" s="159"/>
      <c r="BZ46" s="157"/>
      <c r="CA46" s="157"/>
      <c r="CB46" s="157"/>
      <c r="CC46" s="157"/>
      <c r="CD46" s="158"/>
      <c r="CE46" s="159"/>
      <c r="CF46" s="157"/>
      <c r="CG46" s="157"/>
      <c r="CH46" s="157"/>
      <c r="CI46" s="157"/>
      <c r="CJ46" s="158"/>
      <c r="CK46" s="159"/>
      <c r="CL46" s="157"/>
      <c r="CM46" s="157"/>
      <c r="CN46" s="157"/>
      <c r="CO46" s="157"/>
      <c r="CP46" s="158"/>
      <c r="CQ46" s="159"/>
      <c r="CR46" s="157"/>
      <c r="CS46" s="157"/>
      <c r="CT46" s="157"/>
      <c r="CU46" s="157"/>
      <c r="CV46" s="158"/>
      <c r="CW46" s="159"/>
      <c r="CX46" s="157"/>
      <c r="CY46" s="157"/>
      <c r="CZ46" s="157"/>
      <c r="DA46" s="157"/>
      <c r="DB46" s="158"/>
      <c r="DC46" s="159"/>
      <c r="DD46" s="157"/>
      <c r="DE46" s="157"/>
      <c r="DF46" s="157"/>
      <c r="DG46" s="157"/>
      <c r="DH46" s="158"/>
      <c r="DI46" s="159"/>
      <c r="DJ46" s="157"/>
      <c r="DK46" s="157"/>
      <c r="DL46" s="157"/>
      <c r="DM46" s="157"/>
      <c r="DN46" s="158"/>
      <c r="DO46" s="159"/>
      <c r="DP46" s="157"/>
      <c r="DQ46" s="157"/>
      <c r="DR46" s="157"/>
      <c r="DS46" s="157"/>
      <c r="DT46" s="158"/>
      <c r="DU46" s="159"/>
      <c r="DV46" s="157"/>
      <c r="DW46" s="157"/>
      <c r="DX46" s="157"/>
      <c r="DY46" s="157"/>
      <c r="DZ46" s="158"/>
      <c r="EA46" s="159"/>
      <c r="EB46" s="157"/>
      <c r="EC46" s="157"/>
      <c r="ED46" s="157"/>
      <c r="EE46" s="157"/>
      <c r="EF46" s="158"/>
      <c r="EG46" s="159"/>
      <c r="EH46" s="157"/>
      <c r="EI46" s="157"/>
      <c r="EJ46" s="157"/>
      <c r="EK46" s="157"/>
      <c r="EL46" s="158"/>
      <c r="EM46" s="159"/>
      <c r="EN46" s="157"/>
      <c r="EO46" s="157"/>
      <c r="EP46" s="157"/>
      <c r="EQ46" s="157"/>
      <c r="ER46" s="158"/>
      <c r="ES46" s="159"/>
      <c r="ET46" s="157"/>
      <c r="EU46" s="157"/>
      <c r="EV46" s="157"/>
      <c r="EW46" s="157"/>
      <c r="EX46" s="158"/>
      <c r="EY46" s="159"/>
      <c r="EZ46" s="157"/>
      <c r="FA46" s="157"/>
      <c r="FB46" s="157"/>
      <c r="FC46" s="157"/>
      <c r="FD46" s="158"/>
      <c r="FE46" s="159"/>
      <c r="FF46" s="157"/>
      <c r="FG46" s="157"/>
      <c r="FH46" s="157"/>
      <c r="FI46" s="157"/>
      <c r="FJ46" s="158"/>
      <c r="FK46" s="159"/>
      <c r="FL46" s="157"/>
      <c r="FM46" s="157"/>
      <c r="FN46" s="157"/>
      <c r="FO46" s="157"/>
      <c r="FP46" s="158"/>
      <c r="FQ46" s="159"/>
      <c r="FR46" s="157"/>
      <c r="FS46" s="157"/>
      <c r="FT46" s="157"/>
      <c r="FU46" s="157"/>
      <c r="FV46" s="158"/>
      <c r="FW46" s="159"/>
      <c r="FX46" s="157"/>
      <c r="FY46" s="157"/>
      <c r="FZ46" s="157"/>
      <c r="GA46" s="157"/>
      <c r="GB46" s="158"/>
      <c r="GC46" s="159"/>
      <c r="GD46" s="157"/>
      <c r="GE46" s="157"/>
      <c r="GF46" s="157"/>
      <c r="GG46" s="157"/>
      <c r="GH46" s="158"/>
      <c r="GI46" s="159"/>
      <c r="GJ46" s="157"/>
      <c r="GK46" s="157"/>
      <c r="GL46" s="157"/>
      <c r="GM46" s="157"/>
      <c r="GN46" s="158"/>
      <c r="GO46" s="159"/>
      <c r="GP46" s="157"/>
      <c r="GQ46" s="157"/>
      <c r="GR46" s="157"/>
      <c r="GS46" s="157"/>
      <c r="GT46" s="158"/>
      <c r="GU46" s="159"/>
      <c r="GV46" s="157"/>
      <c r="GW46" s="157"/>
      <c r="GX46" s="157"/>
      <c r="GY46" s="157"/>
      <c r="GZ46" s="158"/>
      <c r="HA46" s="159"/>
      <c r="HB46" s="157"/>
      <c r="HC46" s="157"/>
      <c r="HD46" s="157"/>
      <c r="HE46" s="157"/>
      <c r="HF46" s="158"/>
      <c r="HG46" s="159"/>
      <c r="HH46" s="157"/>
      <c r="HI46" s="157"/>
      <c r="HJ46" s="157"/>
      <c r="HK46" s="157"/>
      <c r="HL46" s="158"/>
      <c r="HM46" s="159"/>
      <c r="HN46" s="157"/>
      <c r="HO46" s="157"/>
      <c r="HP46" s="157"/>
      <c r="HQ46" s="157"/>
      <c r="HR46" s="158"/>
      <c r="HS46" s="159"/>
      <c r="HT46" s="157"/>
      <c r="HU46" s="157"/>
      <c r="HV46" s="157"/>
    </row>
    <row r="47" spans="1:230" x14ac:dyDescent="0.25">
      <c r="H47" s="187"/>
      <c r="K47" s="187"/>
      <c r="L47" s="187"/>
      <c r="M47" s="187"/>
      <c r="N47" s="187"/>
      <c r="O47" s="187"/>
    </row>
    <row r="48" spans="1:230" ht="15.75" x14ac:dyDescent="0.25">
      <c r="A48" s="166" t="s">
        <v>128</v>
      </c>
      <c r="B48" s="167" t="s">
        <v>270</v>
      </c>
      <c r="C48" s="167"/>
      <c r="D48" s="167"/>
      <c r="E48" s="167"/>
      <c r="F48" s="167" t="s">
        <v>271</v>
      </c>
      <c r="G48" s="168"/>
      <c r="H48" s="169"/>
      <c r="I48" s="167" t="s">
        <v>272</v>
      </c>
      <c r="J48" s="168"/>
      <c r="K48" s="169"/>
      <c r="L48" s="169"/>
      <c r="M48" s="169"/>
      <c r="N48" s="169"/>
      <c r="O48" s="170"/>
    </row>
    <row r="49" spans="1:15" x14ac:dyDescent="0.25">
      <c r="A49" s="416" t="s">
        <v>90</v>
      </c>
      <c r="B49" s="446" t="s">
        <v>177</v>
      </c>
      <c r="C49" s="447"/>
      <c r="D49" s="447"/>
      <c r="E49" s="447"/>
      <c r="F49" s="493" t="s">
        <v>74</v>
      </c>
      <c r="G49" s="494"/>
      <c r="H49" s="494"/>
      <c r="I49" s="493" t="s">
        <v>261</v>
      </c>
      <c r="J49" s="494"/>
      <c r="K49" s="495"/>
      <c r="L49" s="171" t="s">
        <v>262</v>
      </c>
      <c r="M49" s="189" t="s">
        <v>251</v>
      </c>
      <c r="N49" s="190"/>
      <c r="O49" s="192"/>
    </row>
    <row r="50" spans="1:15" x14ac:dyDescent="0.25">
      <c r="A50" s="417"/>
      <c r="B50" s="420"/>
      <c r="C50" s="421"/>
      <c r="D50" s="421"/>
      <c r="E50" s="421"/>
      <c r="F50" s="496" t="s">
        <v>263</v>
      </c>
      <c r="G50" s="497"/>
      <c r="H50" s="497"/>
      <c r="I50" s="496" t="s">
        <v>185</v>
      </c>
      <c r="J50" s="497"/>
      <c r="K50" s="498"/>
      <c r="L50" s="152" t="s">
        <v>185</v>
      </c>
      <c r="M50" s="193"/>
      <c r="N50" s="194"/>
      <c r="O50" s="195"/>
    </row>
    <row r="51" spans="1:15" s="172" customFormat="1" ht="20.100000000000001" customHeight="1" x14ac:dyDescent="0.2">
      <c r="A51" s="164">
        <v>1</v>
      </c>
      <c r="B51" s="173" t="str">
        <f>B32</f>
        <v>ALAMEDA DAS GARRINCHAS</v>
      </c>
      <c r="C51" s="174"/>
      <c r="D51" s="174"/>
      <c r="E51" s="174"/>
      <c r="F51" s="481">
        <v>0</v>
      </c>
      <c r="G51" s="482"/>
      <c r="H51" s="483"/>
      <c r="I51" s="513">
        <v>0.20300000000000001</v>
      </c>
      <c r="J51" s="514"/>
      <c r="K51" s="515"/>
      <c r="L51" s="178">
        <v>0</v>
      </c>
      <c r="M51" s="193"/>
      <c r="N51" s="194"/>
      <c r="O51" s="195"/>
    </row>
    <row r="52" spans="1:15" s="172" customFormat="1" ht="20.100000000000001" customHeight="1" x14ac:dyDescent="0.2">
      <c r="A52" s="164">
        <v>2</v>
      </c>
      <c r="B52" s="173" t="str">
        <f t="shared" ref="B52:B64" si="1">B33</f>
        <v>RUA MARIA DE LOURDES VIEIRA</v>
      </c>
      <c r="C52" s="174"/>
      <c r="D52" s="174"/>
      <c r="E52" s="174"/>
      <c r="F52" s="481"/>
      <c r="G52" s="482"/>
      <c r="H52" s="483"/>
      <c r="I52" s="513"/>
      <c r="J52" s="514"/>
      <c r="K52" s="515"/>
      <c r="L52" s="178"/>
      <c r="M52" s="193"/>
      <c r="N52" s="194"/>
      <c r="O52" s="195"/>
    </row>
    <row r="53" spans="1:15" s="172" customFormat="1" ht="20.100000000000001" customHeight="1" x14ac:dyDescent="0.2">
      <c r="A53" s="164">
        <v>3</v>
      </c>
      <c r="B53" s="173" t="str">
        <f t="shared" si="1"/>
        <v>AV. JUVENTINO CIPRIANO DA EXALTAÇÃO</v>
      </c>
      <c r="C53" s="174"/>
      <c r="D53" s="174"/>
      <c r="E53" s="174"/>
      <c r="F53" s="481"/>
      <c r="G53" s="482"/>
      <c r="H53" s="483"/>
      <c r="I53" s="513"/>
      <c r="J53" s="514"/>
      <c r="K53" s="515"/>
      <c r="L53" s="178"/>
      <c r="M53" s="193"/>
      <c r="N53" s="194"/>
      <c r="O53" s="195"/>
    </row>
    <row r="54" spans="1:15" s="172" customFormat="1" ht="20.100000000000001" customHeight="1" x14ac:dyDescent="0.2">
      <c r="A54" s="164">
        <v>4</v>
      </c>
      <c r="B54" s="173" t="str">
        <f t="shared" si="1"/>
        <v>AV. DRº RUI EVANGELISTA DA EXALTAÇÃO</v>
      </c>
      <c r="C54" s="174"/>
      <c r="D54" s="174"/>
      <c r="E54" s="174"/>
      <c r="F54" s="481"/>
      <c r="G54" s="482"/>
      <c r="H54" s="483"/>
      <c r="I54" s="513"/>
      <c r="J54" s="514"/>
      <c r="K54" s="515"/>
      <c r="L54" s="178"/>
      <c r="M54" s="193"/>
      <c r="N54" s="194"/>
      <c r="O54" s="195"/>
    </row>
    <row r="55" spans="1:15" s="172" customFormat="1" ht="20.100000000000001" customHeight="1" x14ac:dyDescent="0.2">
      <c r="A55" s="164">
        <v>5</v>
      </c>
      <c r="B55" s="173" t="str">
        <f t="shared" si="1"/>
        <v>RUA MIRO HENRIQUE VIEIRA FREIRE</v>
      </c>
      <c r="C55" s="174"/>
      <c r="D55" s="174"/>
      <c r="E55" s="174"/>
      <c r="F55" s="481"/>
      <c r="G55" s="482"/>
      <c r="H55" s="483"/>
      <c r="I55" s="513"/>
      <c r="J55" s="514"/>
      <c r="K55" s="515"/>
      <c r="L55" s="178"/>
      <c r="M55" s="193"/>
      <c r="N55" s="194"/>
      <c r="O55" s="195"/>
    </row>
    <row r="56" spans="1:15" s="172" customFormat="1" ht="20.100000000000001" customHeight="1" x14ac:dyDescent="0.2">
      <c r="A56" s="164">
        <v>6</v>
      </c>
      <c r="B56" s="173" t="str">
        <f t="shared" si="1"/>
        <v>RUA MARIA MARTA VIEIRA</v>
      </c>
      <c r="C56" s="174"/>
      <c r="D56" s="174"/>
      <c r="E56" s="174"/>
      <c r="F56" s="209"/>
      <c r="G56" s="210"/>
      <c r="H56" s="211"/>
      <c r="I56" s="206"/>
      <c r="J56" s="207"/>
      <c r="K56" s="208"/>
      <c r="L56" s="178"/>
      <c r="M56" s="193"/>
      <c r="N56" s="194"/>
      <c r="O56" s="195"/>
    </row>
    <row r="57" spans="1:15" s="172" customFormat="1" ht="20.100000000000001" customHeight="1" x14ac:dyDescent="0.2">
      <c r="A57" s="164">
        <v>7</v>
      </c>
      <c r="B57" s="173" t="str">
        <f t="shared" si="1"/>
        <v>AV. DIONITA JUVENAL DA EXALTAÇÃO</v>
      </c>
      <c r="C57" s="174"/>
      <c r="D57" s="174"/>
      <c r="E57" s="174"/>
      <c r="F57" s="209"/>
      <c r="G57" s="210"/>
      <c r="H57" s="211"/>
      <c r="I57" s="206"/>
      <c r="J57" s="207"/>
      <c r="K57" s="208"/>
      <c r="L57" s="178"/>
      <c r="M57" s="193"/>
      <c r="N57" s="194"/>
      <c r="O57" s="195"/>
    </row>
    <row r="58" spans="1:15" s="172" customFormat="1" ht="20.100000000000001" customHeight="1" x14ac:dyDescent="0.2">
      <c r="A58" s="164">
        <v>8</v>
      </c>
      <c r="B58" s="173" t="str">
        <f t="shared" si="1"/>
        <v>AV. EDUARDO VIEIRA</v>
      </c>
      <c r="C58" s="174"/>
      <c r="D58" s="174"/>
      <c r="E58" s="174"/>
      <c r="F58" s="481">
        <v>1</v>
      </c>
      <c r="G58" s="482"/>
      <c r="H58" s="483"/>
      <c r="I58" s="206"/>
      <c r="J58" s="207"/>
      <c r="K58" s="208"/>
      <c r="L58" s="178"/>
      <c r="M58" s="193"/>
      <c r="N58" s="194"/>
      <c r="O58" s="195"/>
    </row>
    <row r="59" spans="1:15" s="172" customFormat="1" ht="20.100000000000001" customHeight="1" x14ac:dyDescent="0.2">
      <c r="A59" s="164">
        <v>9</v>
      </c>
      <c r="B59" s="173" t="str">
        <f t="shared" si="1"/>
        <v>TRAVESSA A</v>
      </c>
      <c r="C59" s="174"/>
      <c r="D59" s="174"/>
      <c r="E59" s="174"/>
      <c r="F59" s="209"/>
      <c r="G59" s="210"/>
      <c r="H59" s="211"/>
      <c r="I59" s="206"/>
      <c r="J59" s="207"/>
      <c r="K59" s="208"/>
      <c r="L59" s="178"/>
      <c r="M59" s="193"/>
      <c r="N59" s="194"/>
      <c r="O59" s="195"/>
    </row>
    <row r="60" spans="1:15" s="172" customFormat="1" ht="20.100000000000001" customHeight="1" x14ac:dyDescent="0.2">
      <c r="A60" s="164">
        <v>10</v>
      </c>
      <c r="B60" s="173" t="str">
        <f t="shared" si="1"/>
        <v>RUA CAETÊ</v>
      </c>
      <c r="C60" s="174"/>
      <c r="D60" s="174"/>
      <c r="E60" s="174"/>
      <c r="F60" s="481">
        <v>1</v>
      </c>
      <c r="G60" s="482"/>
      <c r="H60" s="483"/>
      <c r="I60" s="206"/>
      <c r="J60" s="207"/>
      <c r="K60" s="208"/>
      <c r="L60" s="178"/>
      <c r="M60" s="193"/>
      <c r="N60" s="194"/>
      <c r="O60" s="195"/>
    </row>
    <row r="61" spans="1:15" s="172" customFormat="1" ht="20.100000000000001" customHeight="1" x14ac:dyDescent="0.2">
      <c r="A61" s="164">
        <v>11</v>
      </c>
      <c r="B61" s="173" t="str">
        <f t="shared" si="1"/>
        <v>RUA MARIA MARTA VIEIRA</v>
      </c>
      <c r="C61" s="174"/>
      <c r="D61" s="174"/>
      <c r="E61" s="174"/>
      <c r="F61" s="209"/>
      <c r="G61" s="210"/>
      <c r="H61" s="211"/>
      <c r="I61" s="206"/>
      <c r="J61" s="207"/>
      <c r="K61" s="208"/>
      <c r="L61" s="178"/>
      <c r="M61" s="193"/>
      <c r="N61" s="194"/>
      <c r="O61" s="195"/>
    </row>
    <row r="62" spans="1:15" s="172" customFormat="1" ht="20.100000000000001" customHeight="1" x14ac:dyDescent="0.2">
      <c r="A62" s="164">
        <v>12</v>
      </c>
      <c r="B62" s="173" t="str">
        <f t="shared" si="1"/>
        <v>RUA 02</v>
      </c>
      <c r="C62" s="174"/>
      <c r="D62" s="174"/>
      <c r="E62" s="174"/>
      <c r="F62" s="481"/>
      <c r="G62" s="482"/>
      <c r="H62" s="483"/>
      <c r="I62" s="513"/>
      <c r="J62" s="514"/>
      <c r="K62" s="515"/>
      <c r="L62" s="178"/>
      <c r="M62" s="193"/>
      <c r="N62" s="194"/>
      <c r="O62" s="195"/>
    </row>
    <row r="63" spans="1:15" s="172" customFormat="1" ht="20.100000000000001" customHeight="1" x14ac:dyDescent="0.2">
      <c r="A63" s="164">
        <v>13</v>
      </c>
      <c r="B63" s="173" t="str">
        <f t="shared" si="1"/>
        <v>RUA E</v>
      </c>
      <c r="C63" s="174"/>
      <c r="D63" s="174"/>
      <c r="E63" s="174"/>
      <c r="F63" s="481">
        <v>1</v>
      </c>
      <c r="G63" s="482"/>
      <c r="H63" s="483"/>
      <c r="I63" s="513"/>
      <c r="J63" s="514"/>
      <c r="K63" s="515"/>
      <c r="L63" s="178"/>
      <c r="M63" s="193"/>
      <c r="N63" s="194"/>
      <c r="O63" s="195"/>
    </row>
    <row r="64" spans="1:15" s="172" customFormat="1" ht="20.100000000000001" customHeight="1" x14ac:dyDescent="0.2">
      <c r="A64" s="164">
        <v>14</v>
      </c>
      <c r="B64" s="173" t="str">
        <f t="shared" si="1"/>
        <v>TV ALTO PARAISO</v>
      </c>
      <c r="C64" s="174"/>
      <c r="D64" s="174"/>
      <c r="E64" s="174"/>
      <c r="F64" s="481">
        <v>3</v>
      </c>
      <c r="G64" s="482"/>
      <c r="H64" s="483"/>
      <c r="I64" s="513"/>
      <c r="J64" s="514"/>
      <c r="K64" s="515"/>
      <c r="L64" s="178"/>
      <c r="M64" s="193"/>
      <c r="N64" s="194"/>
      <c r="O64" s="195"/>
    </row>
    <row r="65" spans="1:16" ht="15.75" x14ac:dyDescent="0.25">
      <c r="A65" s="452" t="s">
        <v>187</v>
      </c>
      <c r="B65" s="453"/>
      <c r="C65" s="453"/>
      <c r="D65" s="453"/>
      <c r="E65" s="453"/>
      <c r="F65" s="516">
        <f>SUM(F51:H64)</f>
        <v>6</v>
      </c>
      <c r="G65" s="517"/>
      <c r="H65" s="518"/>
      <c r="I65" s="440"/>
      <c r="J65" s="441"/>
      <c r="K65" s="519"/>
      <c r="L65" s="156">
        <v>0</v>
      </c>
      <c r="M65" s="196"/>
      <c r="N65" s="197"/>
      <c r="O65" s="199"/>
      <c r="P65" s="205">
        <f>F65</f>
        <v>6</v>
      </c>
    </row>
    <row r="66" spans="1:16" x14ac:dyDescent="0.25">
      <c r="H66" s="187"/>
      <c r="K66" s="187"/>
      <c r="L66" s="187"/>
      <c r="M66" s="187"/>
      <c r="N66" s="187"/>
      <c r="O66" s="187"/>
    </row>
    <row r="67" spans="1:16" ht="20.25" customHeight="1" x14ac:dyDescent="0.25">
      <c r="A67" s="509" t="s">
        <v>273</v>
      </c>
      <c r="B67" s="492"/>
      <c r="C67" s="492"/>
      <c r="D67" s="492"/>
      <c r="E67" s="492"/>
      <c r="F67" s="492"/>
      <c r="G67" s="492"/>
      <c r="H67" s="492"/>
      <c r="I67" s="492"/>
      <c r="J67" s="492"/>
      <c r="K67" s="492"/>
      <c r="L67" s="492"/>
      <c r="M67" s="510">
        <f>F65+F46+F27</f>
        <v>46</v>
      </c>
      <c r="N67" s="511"/>
      <c r="O67" s="203" t="s">
        <v>274</v>
      </c>
    </row>
    <row r="68" spans="1:16" ht="20.25" hidden="1" customHeight="1" x14ac:dyDescent="0.25">
      <c r="A68" s="509" t="s">
        <v>275</v>
      </c>
      <c r="B68" s="492"/>
      <c r="C68" s="492"/>
      <c r="D68" s="492"/>
      <c r="E68" s="492"/>
      <c r="F68" s="492"/>
      <c r="G68" s="492"/>
      <c r="H68" s="492"/>
      <c r="I68" s="492"/>
      <c r="J68" s="492"/>
      <c r="K68" s="492"/>
      <c r="L68" s="492"/>
      <c r="M68" s="512">
        <v>1.1400000000000001</v>
      </c>
      <c r="N68" s="511"/>
      <c r="O68" s="203" t="s">
        <v>24</v>
      </c>
    </row>
    <row r="69" spans="1:16" x14ac:dyDescent="0.25">
      <c r="A69" s="204"/>
    </row>
  </sheetData>
  <mergeCells count="98">
    <mergeCell ref="A9:O9"/>
    <mergeCell ref="A11:A12"/>
    <mergeCell ref="B11:E12"/>
    <mergeCell ref="F11:H11"/>
    <mergeCell ref="I11:K11"/>
    <mergeCell ref="F12:H12"/>
    <mergeCell ref="I12:K12"/>
    <mergeCell ref="F19:H19"/>
    <mergeCell ref="I19:K19"/>
    <mergeCell ref="F26:H26"/>
    <mergeCell ref="I26:K26"/>
    <mergeCell ref="A27:E27"/>
    <mergeCell ref="F27:H27"/>
    <mergeCell ref="I27:K27"/>
    <mergeCell ref="F23:H23"/>
    <mergeCell ref="F24:H24"/>
    <mergeCell ref="F25:H25"/>
    <mergeCell ref="F20:H20"/>
    <mergeCell ref="F21:H21"/>
    <mergeCell ref="F22:H22"/>
    <mergeCell ref="A30:A31"/>
    <mergeCell ref="B30:E31"/>
    <mergeCell ref="F30:H30"/>
    <mergeCell ref="I30:K30"/>
    <mergeCell ref="F31:H31"/>
    <mergeCell ref="I31:K31"/>
    <mergeCell ref="I18:K18"/>
    <mergeCell ref="F13:H13"/>
    <mergeCell ref="I13:K13"/>
    <mergeCell ref="F14:H14"/>
    <mergeCell ref="I14:K14"/>
    <mergeCell ref="F15:H15"/>
    <mergeCell ref="I15:K15"/>
    <mergeCell ref="F16:H16"/>
    <mergeCell ref="I16:K16"/>
    <mergeCell ref="F17:H17"/>
    <mergeCell ref="I17:K17"/>
    <mergeCell ref="F18:H18"/>
    <mergeCell ref="F32:H32"/>
    <mergeCell ref="I32:K32"/>
    <mergeCell ref="F33:H33"/>
    <mergeCell ref="I33:K33"/>
    <mergeCell ref="F40:H40"/>
    <mergeCell ref="I40:K40"/>
    <mergeCell ref="F34:H34"/>
    <mergeCell ref="F35:H35"/>
    <mergeCell ref="F36:H36"/>
    <mergeCell ref="F37:H37"/>
    <mergeCell ref="F38:H38"/>
    <mergeCell ref="F39:H39"/>
    <mergeCell ref="F41:H41"/>
    <mergeCell ref="I41:K41"/>
    <mergeCell ref="F42:H42"/>
    <mergeCell ref="I42:K42"/>
    <mergeCell ref="F43:H43"/>
    <mergeCell ref="I43:K43"/>
    <mergeCell ref="F44:H44"/>
    <mergeCell ref="I44:K44"/>
    <mergeCell ref="F45:H45"/>
    <mergeCell ref="I45:K45"/>
    <mergeCell ref="A46:E46"/>
    <mergeCell ref="F46:H46"/>
    <mergeCell ref="I46:K46"/>
    <mergeCell ref="F53:H53"/>
    <mergeCell ref="I53:K53"/>
    <mergeCell ref="F60:H60"/>
    <mergeCell ref="F58:H58"/>
    <mergeCell ref="A49:A50"/>
    <mergeCell ref="B49:E50"/>
    <mergeCell ref="F49:H49"/>
    <mergeCell ref="I49:K49"/>
    <mergeCell ref="F50:H50"/>
    <mergeCell ref="I50:K50"/>
    <mergeCell ref="A68:L68"/>
    <mergeCell ref="M68:N68"/>
    <mergeCell ref="F63:H63"/>
    <mergeCell ref="I63:K63"/>
    <mergeCell ref="F64:H64"/>
    <mergeCell ref="I64:K64"/>
    <mergeCell ref="A65:E65"/>
    <mergeCell ref="F65:H65"/>
    <mergeCell ref="I65:K65"/>
    <mergeCell ref="A1:Q1"/>
    <mergeCell ref="A2:Q2"/>
    <mergeCell ref="A3:Q3"/>
    <mergeCell ref="A4:Q4"/>
    <mergeCell ref="A67:L67"/>
    <mergeCell ref="M67:N67"/>
    <mergeCell ref="F54:H54"/>
    <mergeCell ref="I54:K54"/>
    <mergeCell ref="F55:H55"/>
    <mergeCell ref="I55:K55"/>
    <mergeCell ref="F62:H62"/>
    <mergeCell ref="I62:K62"/>
    <mergeCell ref="F51:H51"/>
    <mergeCell ref="I51:K51"/>
    <mergeCell ref="F52:H52"/>
    <mergeCell ref="I52:K52"/>
  </mergeCells>
  <printOptions horizontalCentered="1"/>
  <pageMargins left="0.15748031496062992" right="0.19685039370078741" top="0.78740157480314965" bottom="0.78740157480314965" header="0.15748031496062992" footer="0.31496062992125984"/>
  <pageSetup paperSize="9" scale="60" firstPageNumber="25" orientation="portrait" useFirstPageNumber="1" r:id="rId1"/>
  <headerFooter scaleWithDoc="0">
    <oddFooter>&amp;C&amp;"-,Negrito itálico"Kaik Eduardo Silva Vilar
Engenheiro Civil
CREA: 241510947-9</oddFooter>
  </headerFooter>
  <rowBreaks count="1" manualBreakCount="1">
    <brk id="47" max="14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</sheetPr>
  <dimension ref="A1:R21"/>
  <sheetViews>
    <sheetView showGridLines="0" showZeros="0" view="pageBreakPreview" zoomScale="115" zoomScaleNormal="100" zoomScaleSheetLayoutView="115" workbookViewId="0">
      <selection activeCell="C8" sqref="C8"/>
    </sheetView>
  </sheetViews>
  <sheetFormatPr defaultColWidth="10" defaultRowHeight="12.75" x14ac:dyDescent="0.2"/>
  <cols>
    <col min="1" max="1" width="0.625" style="95" customWidth="1"/>
    <col min="2" max="2" width="13.25" style="95" customWidth="1"/>
    <col min="3" max="3" width="0.625" style="95" customWidth="1"/>
    <col min="4" max="4" width="39.5" style="95" customWidth="1"/>
    <col min="5" max="5" width="0.625" style="95" customWidth="1"/>
    <col min="6" max="9" width="8.125" style="96" bestFit="1" customWidth="1"/>
    <col min="10" max="10" width="6.75" style="96" customWidth="1"/>
    <col min="11" max="11" width="0.625" style="96" customWidth="1"/>
    <col min="12" max="12" width="6.75" style="96" customWidth="1"/>
    <col min="13" max="13" width="12" style="96" customWidth="1"/>
    <col min="14" max="14" width="0.625" style="96" customWidth="1"/>
    <col min="15" max="15" width="12" style="96" customWidth="1"/>
    <col min="16" max="16" width="26.5" style="96" customWidth="1"/>
    <col min="17" max="17" width="0.625" style="95" customWidth="1"/>
    <col min="18" max="18" width="12.5" style="95" customWidth="1"/>
    <col min="19" max="47" width="10" style="95"/>
    <col min="48" max="48" width="0.625" style="95" customWidth="1"/>
    <col min="49" max="49" width="13.25" style="95" customWidth="1"/>
    <col min="50" max="50" width="0.625" style="95" customWidth="1"/>
    <col min="51" max="51" width="49.125" style="95" customWidth="1"/>
    <col min="52" max="52" width="0.625" style="95" customWidth="1"/>
    <col min="53" max="53" width="8" style="95" customWidth="1"/>
    <col min="54" max="54" width="5.25" style="95" customWidth="1"/>
    <col min="55" max="55" width="0.625" style="95" customWidth="1"/>
    <col min="56" max="56" width="6.25" style="95" customWidth="1"/>
    <col min="57" max="57" width="5.75" style="95" customWidth="1"/>
    <col min="58" max="58" width="0.625" style="95" customWidth="1"/>
    <col min="59" max="59" width="6.875" style="95" customWidth="1"/>
    <col min="60" max="60" width="9.25" style="95" customWidth="1"/>
    <col min="61" max="61" width="0.625" style="95" customWidth="1"/>
    <col min="62" max="303" width="10" style="95"/>
    <col min="304" max="304" width="0.625" style="95" customWidth="1"/>
    <col min="305" max="305" width="13.25" style="95" customWidth="1"/>
    <col min="306" max="306" width="0.625" style="95" customWidth="1"/>
    <col min="307" max="307" width="49.125" style="95" customWidth="1"/>
    <col min="308" max="308" width="0.625" style="95" customWidth="1"/>
    <col min="309" max="309" width="8" style="95" customWidth="1"/>
    <col min="310" max="310" width="5.25" style="95" customWidth="1"/>
    <col min="311" max="311" width="0.625" style="95" customWidth="1"/>
    <col min="312" max="312" width="6.25" style="95" customWidth="1"/>
    <col min="313" max="313" width="5.75" style="95" customWidth="1"/>
    <col min="314" max="314" width="0.625" style="95" customWidth="1"/>
    <col min="315" max="315" width="6.875" style="95" customWidth="1"/>
    <col min="316" max="316" width="9.25" style="95" customWidth="1"/>
    <col min="317" max="317" width="0.625" style="95" customWidth="1"/>
    <col min="318" max="559" width="10" style="95"/>
    <col min="560" max="560" width="0.625" style="95" customWidth="1"/>
    <col min="561" max="561" width="13.25" style="95" customWidth="1"/>
    <col min="562" max="562" width="0.625" style="95" customWidth="1"/>
    <col min="563" max="563" width="49.125" style="95" customWidth="1"/>
    <col min="564" max="564" width="0.625" style="95" customWidth="1"/>
    <col min="565" max="565" width="8" style="95" customWidth="1"/>
    <col min="566" max="566" width="5.25" style="95" customWidth="1"/>
    <col min="567" max="567" width="0.625" style="95" customWidth="1"/>
    <col min="568" max="568" width="6.25" style="95" customWidth="1"/>
    <col min="569" max="569" width="5.75" style="95" customWidth="1"/>
    <col min="570" max="570" width="0.625" style="95" customWidth="1"/>
    <col min="571" max="571" width="6.875" style="95" customWidth="1"/>
    <col min="572" max="572" width="9.25" style="95" customWidth="1"/>
    <col min="573" max="573" width="0.625" style="95" customWidth="1"/>
    <col min="574" max="815" width="10" style="95"/>
    <col min="816" max="816" width="0.625" style="95" customWidth="1"/>
    <col min="817" max="817" width="13.25" style="95" customWidth="1"/>
    <col min="818" max="818" width="0.625" style="95" customWidth="1"/>
    <col min="819" max="819" width="49.125" style="95" customWidth="1"/>
    <col min="820" max="820" width="0.625" style="95" customWidth="1"/>
    <col min="821" max="821" width="8" style="95" customWidth="1"/>
    <col min="822" max="822" width="5.25" style="95" customWidth="1"/>
    <col min="823" max="823" width="0.625" style="95" customWidth="1"/>
    <col min="824" max="824" width="6.25" style="95" customWidth="1"/>
    <col min="825" max="825" width="5.75" style="95" customWidth="1"/>
    <col min="826" max="826" width="0.625" style="95" customWidth="1"/>
    <col min="827" max="827" width="6.875" style="95" customWidth="1"/>
    <col min="828" max="828" width="9.25" style="95" customWidth="1"/>
    <col min="829" max="829" width="0.625" style="95" customWidth="1"/>
    <col min="830" max="1071" width="10" style="95"/>
    <col min="1072" max="1072" width="0.625" style="95" customWidth="1"/>
    <col min="1073" max="1073" width="13.25" style="95" customWidth="1"/>
    <col min="1074" max="1074" width="0.625" style="95" customWidth="1"/>
    <col min="1075" max="1075" width="49.125" style="95" customWidth="1"/>
    <col min="1076" max="1076" width="0.625" style="95" customWidth="1"/>
    <col min="1077" max="1077" width="8" style="95" customWidth="1"/>
    <col min="1078" max="1078" width="5.25" style="95" customWidth="1"/>
    <col min="1079" max="1079" width="0.625" style="95" customWidth="1"/>
    <col min="1080" max="1080" width="6.25" style="95" customWidth="1"/>
    <col min="1081" max="1081" width="5.75" style="95" customWidth="1"/>
    <col min="1082" max="1082" width="0.625" style="95" customWidth="1"/>
    <col min="1083" max="1083" width="6.875" style="95" customWidth="1"/>
    <col min="1084" max="1084" width="9.25" style="95" customWidth="1"/>
    <col min="1085" max="1085" width="0.625" style="95" customWidth="1"/>
    <col min="1086" max="1327" width="10" style="95"/>
    <col min="1328" max="1328" width="0.625" style="95" customWidth="1"/>
    <col min="1329" max="1329" width="13.25" style="95" customWidth="1"/>
    <col min="1330" max="1330" width="0.625" style="95" customWidth="1"/>
    <col min="1331" max="1331" width="49.125" style="95" customWidth="1"/>
    <col min="1332" max="1332" width="0.625" style="95" customWidth="1"/>
    <col min="1333" max="1333" width="8" style="95" customWidth="1"/>
    <col min="1334" max="1334" width="5.25" style="95" customWidth="1"/>
    <col min="1335" max="1335" width="0.625" style="95" customWidth="1"/>
    <col min="1336" max="1336" width="6.25" style="95" customWidth="1"/>
    <col min="1337" max="1337" width="5.75" style="95" customWidth="1"/>
    <col min="1338" max="1338" width="0.625" style="95" customWidth="1"/>
    <col min="1339" max="1339" width="6.875" style="95" customWidth="1"/>
    <col min="1340" max="1340" width="9.25" style="95" customWidth="1"/>
    <col min="1341" max="1341" width="0.625" style="95" customWidth="1"/>
    <col min="1342" max="1583" width="10" style="95"/>
    <col min="1584" max="1584" width="0.625" style="95" customWidth="1"/>
    <col min="1585" max="1585" width="13.25" style="95" customWidth="1"/>
    <col min="1586" max="1586" width="0.625" style="95" customWidth="1"/>
    <col min="1587" max="1587" width="49.125" style="95" customWidth="1"/>
    <col min="1588" max="1588" width="0.625" style="95" customWidth="1"/>
    <col min="1589" max="1589" width="8" style="95" customWidth="1"/>
    <col min="1590" max="1590" width="5.25" style="95" customWidth="1"/>
    <col min="1591" max="1591" width="0.625" style="95" customWidth="1"/>
    <col min="1592" max="1592" width="6.25" style="95" customWidth="1"/>
    <col min="1593" max="1593" width="5.75" style="95" customWidth="1"/>
    <col min="1594" max="1594" width="0.625" style="95" customWidth="1"/>
    <col min="1595" max="1595" width="6.875" style="95" customWidth="1"/>
    <col min="1596" max="1596" width="9.25" style="95" customWidth="1"/>
    <col min="1597" max="1597" width="0.625" style="95" customWidth="1"/>
    <col min="1598" max="1839" width="10" style="95"/>
    <col min="1840" max="1840" width="0.625" style="95" customWidth="1"/>
    <col min="1841" max="1841" width="13.25" style="95" customWidth="1"/>
    <col min="1842" max="1842" width="0.625" style="95" customWidth="1"/>
    <col min="1843" max="1843" width="49.125" style="95" customWidth="1"/>
    <col min="1844" max="1844" width="0.625" style="95" customWidth="1"/>
    <col min="1845" max="1845" width="8" style="95" customWidth="1"/>
    <col min="1846" max="1846" width="5.25" style="95" customWidth="1"/>
    <col min="1847" max="1847" width="0.625" style="95" customWidth="1"/>
    <col min="1848" max="1848" width="6.25" style="95" customWidth="1"/>
    <col min="1849" max="1849" width="5.75" style="95" customWidth="1"/>
    <col min="1850" max="1850" width="0.625" style="95" customWidth="1"/>
    <col min="1851" max="1851" width="6.875" style="95" customWidth="1"/>
    <col min="1852" max="1852" width="9.25" style="95" customWidth="1"/>
    <col min="1853" max="1853" width="0.625" style="95" customWidth="1"/>
    <col min="1854" max="2095" width="10" style="95"/>
    <col min="2096" max="2096" width="0.625" style="95" customWidth="1"/>
    <col min="2097" max="2097" width="13.25" style="95" customWidth="1"/>
    <col min="2098" max="2098" width="0.625" style="95" customWidth="1"/>
    <col min="2099" max="2099" width="49.125" style="95" customWidth="1"/>
    <col min="2100" max="2100" width="0.625" style="95" customWidth="1"/>
    <col min="2101" max="2101" width="8" style="95" customWidth="1"/>
    <col min="2102" max="2102" width="5.25" style="95" customWidth="1"/>
    <col min="2103" max="2103" width="0.625" style="95" customWidth="1"/>
    <col min="2104" max="2104" width="6.25" style="95" customWidth="1"/>
    <col min="2105" max="2105" width="5.75" style="95" customWidth="1"/>
    <col min="2106" max="2106" width="0.625" style="95" customWidth="1"/>
    <col min="2107" max="2107" width="6.875" style="95" customWidth="1"/>
    <col min="2108" max="2108" width="9.25" style="95" customWidth="1"/>
    <col min="2109" max="2109" width="0.625" style="95" customWidth="1"/>
    <col min="2110" max="2351" width="10" style="95"/>
    <col min="2352" max="2352" width="0.625" style="95" customWidth="1"/>
    <col min="2353" max="2353" width="13.25" style="95" customWidth="1"/>
    <col min="2354" max="2354" width="0.625" style="95" customWidth="1"/>
    <col min="2355" max="2355" width="49.125" style="95" customWidth="1"/>
    <col min="2356" max="2356" width="0.625" style="95" customWidth="1"/>
    <col min="2357" max="2357" width="8" style="95" customWidth="1"/>
    <col min="2358" max="2358" width="5.25" style="95" customWidth="1"/>
    <col min="2359" max="2359" width="0.625" style="95" customWidth="1"/>
    <col min="2360" max="2360" width="6.25" style="95" customWidth="1"/>
    <col min="2361" max="2361" width="5.75" style="95" customWidth="1"/>
    <col min="2362" max="2362" width="0.625" style="95" customWidth="1"/>
    <col min="2363" max="2363" width="6.875" style="95" customWidth="1"/>
    <col min="2364" max="2364" width="9.25" style="95" customWidth="1"/>
    <col min="2365" max="2365" width="0.625" style="95" customWidth="1"/>
    <col min="2366" max="2607" width="10" style="95"/>
    <col min="2608" max="2608" width="0.625" style="95" customWidth="1"/>
    <col min="2609" max="2609" width="13.25" style="95" customWidth="1"/>
    <col min="2610" max="2610" width="0.625" style="95" customWidth="1"/>
    <col min="2611" max="2611" width="49.125" style="95" customWidth="1"/>
    <col min="2612" max="2612" width="0.625" style="95" customWidth="1"/>
    <col min="2613" max="2613" width="8" style="95" customWidth="1"/>
    <col min="2614" max="2614" width="5.25" style="95" customWidth="1"/>
    <col min="2615" max="2615" width="0.625" style="95" customWidth="1"/>
    <col min="2616" max="2616" width="6.25" style="95" customWidth="1"/>
    <col min="2617" max="2617" width="5.75" style="95" customWidth="1"/>
    <col min="2618" max="2618" width="0.625" style="95" customWidth="1"/>
    <col min="2619" max="2619" width="6.875" style="95" customWidth="1"/>
    <col min="2620" max="2620" width="9.25" style="95" customWidth="1"/>
    <col min="2621" max="2621" width="0.625" style="95" customWidth="1"/>
    <col min="2622" max="2863" width="10" style="95"/>
    <col min="2864" max="2864" width="0.625" style="95" customWidth="1"/>
    <col min="2865" max="2865" width="13.25" style="95" customWidth="1"/>
    <col min="2866" max="2866" width="0.625" style="95" customWidth="1"/>
    <col min="2867" max="2867" width="49.125" style="95" customWidth="1"/>
    <col min="2868" max="2868" width="0.625" style="95" customWidth="1"/>
    <col min="2869" max="2869" width="8" style="95" customWidth="1"/>
    <col min="2870" max="2870" width="5.25" style="95" customWidth="1"/>
    <col min="2871" max="2871" width="0.625" style="95" customWidth="1"/>
    <col min="2872" max="2872" width="6.25" style="95" customWidth="1"/>
    <col min="2873" max="2873" width="5.75" style="95" customWidth="1"/>
    <col min="2874" max="2874" width="0.625" style="95" customWidth="1"/>
    <col min="2875" max="2875" width="6.875" style="95" customWidth="1"/>
    <col min="2876" max="2876" width="9.25" style="95" customWidth="1"/>
    <col min="2877" max="2877" width="0.625" style="95" customWidth="1"/>
    <col min="2878" max="3119" width="10" style="95"/>
    <col min="3120" max="3120" width="0.625" style="95" customWidth="1"/>
    <col min="3121" max="3121" width="13.25" style="95" customWidth="1"/>
    <col min="3122" max="3122" width="0.625" style="95" customWidth="1"/>
    <col min="3123" max="3123" width="49.125" style="95" customWidth="1"/>
    <col min="3124" max="3124" width="0.625" style="95" customWidth="1"/>
    <col min="3125" max="3125" width="8" style="95" customWidth="1"/>
    <col min="3126" max="3126" width="5.25" style="95" customWidth="1"/>
    <col min="3127" max="3127" width="0.625" style="95" customWidth="1"/>
    <col min="3128" max="3128" width="6.25" style="95" customWidth="1"/>
    <col min="3129" max="3129" width="5.75" style="95" customWidth="1"/>
    <col min="3130" max="3130" width="0.625" style="95" customWidth="1"/>
    <col min="3131" max="3131" width="6.875" style="95" customWidth="1"/>
    <col min="3132" max="3132" width="9.25" style="95" customWidth="1"/>
    <col min="3133" max="3133" width="0.625" style="95" customWidth="1"/>
    <col min="3134" max="3375" width="10" style="95"/>
    <col min="3376" max="3376" width="0.625" style="95" customWidth="1"/>
    <col min="3377" max="3377" width="13.25" style="95" customWidth="1"/>
    <col min="3378" max="3378" width="0.625" style="95" customWidth="1"/>
    <col min="3379" max="3379" width="49.125" style="95" customWidth="1"/>
    <col min="3380" max="3380" width="0.625" style="95" customWidth="1"/>
    <col min="3381" max="3381" width="8" style="95" customWidth="1"/>
    <col min="3382" max="3382" width="5.25" style="95" customWidth="1"/>
    <col min="3383" max="3383" width="0.625" style="95" customWidth="1"/>
    <col min="3384" max="3384" width="6.25" style="95" customWidth="1"/>
    <col min="3385" max="3385" width="5.75" style="95" customWidth="1"/>
    <col min="3386" max="3386" width="0.625" style="95" customWidth="1"/>
    <col min="3387" max="3387" width="6.875" style="95" customWidth="1"/>
    <col min="3388" max="3388" width="9.25" style="95" customWidth="1"/>
    <col min="3389" max="3389" width="0.625" style="95" customWidth="1"/>
    <col min="3390" max="3631" width="10" style="95"/>
    <col min="3632" max="3632" width="0.625" style="95" customWidth="1"/>
    <col min="3633" max="3633" width="13.25" style="95" customWidth="1"/>
    <col min="3634" max="3634" width="0.625" style="95" customWidth="1"/>
    <col min="3635" max="3635" width="49.125" style="95" customWidth="1"/>
    <col min="3636" max="3636" width="0.625" style="95" customWidth="1"/>
    <col min="3637" max="3637" width="8" style="95" customWidth="1"/>
    <col min="3638" max="3638" width="5.25" style="95" customWidth="1"/>
    <col min="3639" max="3639" width="0.625" style="95" customWidth="1"/>
    <col min="3640" max="3640" width="6.25" style="95" customWidth="1"/>
    <col min="3641" max="3641" width="5.75" style="95" customWidth="1"/>
    <col min="3642" max="3642" width="0.625" style="95" customWidth="1"/>
    <col min="3643" max="3643" width="6.875" style="95" customWidth="1"/>
    <col min="3644" max="3644" width="9.25" style="95" customWidth="1"/>
    <col min="3645" max="3645" width="0.625" style="95" customWidth="1"/>
    <col min="3646" max="3887" width="10" style="95"/>
    <col min="3888" max="3888" width="0.625" style="95" customWidth="1"/>
    <col min="3889" max="3889" width="13.25" style="95" customWidth="1"/>
    <col min="3890" max="3890" width="0.625" style="95" customWidth="1"/>
    <col min="3891" max="3891" width="49.125" style="95" customWidth="1"/>
    <col min="3892" max="3892" width="0.625" style="95" customWidth="1"/>
    <col min="3893" max="3893" width="8" style="95" customWidth="1"/>
    <col min="3894" max="3894" width="5.25" style="95" customWidth="1"/>
    <col min="3895" max="3895" width="0.625" style="95" customWidth="1"/>
    <col min="3896" max="3896" width="6.25" style="95" customWidth="1"/>
    <col min="3897" max="3897" width="5.75" style="95" customWidth="1"/>
    <col min="3898" max="3898" width="0.625" style="95" customWidth="1"/>
    <col min="3899" max="3899" width="6.875" style="95" customWidth="1"/>
    <col min="3900" max="3900" width="9.25" style="95" customWidth="1"/>
    <col min="3901" max="3901" width="0.625" style="95" customWidth="1"/>
    <col min="3902" max="4143" width="10" style="95"/>
    <col min="4144" max="4144" width="0.625" style="95" customWidth="1"/>
    <col min="4145" max="4145" width="13.25" style="95" customWidth="1"/>
    <col min="4146" max="4146" width="0.625" style="95" customWidth="1"/>
    <col min="4147" max="4147" width="49.125" style="95" customWidth="1"/>
    <col min="4148" max="4148" width="0.625" style="95" customWidth="1"/>
    <col min="4149" max="4149" width="8" style="95" customWidth="1"/>
    <col min="4150" max="4150" width="5.25" style="95" customWidth="1"/>
    <col min="4151" max="4151" width="0.625" style="95" customWidth="1"/>
    <col min="4152" max="4152" width="6.25" style="95" customWidth="1"/>
    <col min="4153" max="4153" width="5.75" style="95" customWidth="1"/>
    <col min="4154" max="4154" width="0.625" style="95" customWidth="1"/>
    <col min="4155" max="4155" width="6.875" style="95" customWidth="1"/>
    <col min="4156" max="4156" width="9.25" style="95" customWidth="1"/>
    <col min="4157" max="4157" width="0.625" style="95" customWidth="1"/>
    <col min="4158" max="4399" width="10" style="95"/>
    <col min="4400" max="4400" width="0.625" style="95" customWidth="1"/>
    <col min="4401" max="4401" width="13.25" style="95" customWidth="1"/>
    <col min="4402" max="4402" width="0.625" style="95" customWidth="1"/>
    <col min="4403" max="4403" width="49.125" style="95" customWidth="1"/>
    <col min="4404" max="4404" width="0.625" style="95" customWidth="1"/>
    <col min="4405" max="4405" width="8" style="95" customWidth="1"/>
    <col min="4406" max="4406" width="5.25" style="95" customWidth="1"/>
    <col min="4407" max="4407" width="0.625" style="95" customWidth="1"/>
    <col min="4408" max="4408" width="6.25" style="95" customWidth="1"/>
    <col min="4409" max="4409" width="5.75" style="95" customWidth="1"/>
    <col min="4410" max="4410" width="0.625" style="95" customWidth="1"/>
    <col min="4411" max="4411" width="6.875" style="95" customWidth="1"/>
    <col min="4412" max="4412" width="9.25" style="95" customWidth="1"/>
    <col min="4413" max="4413" width="0.625" style="95" customWidth="1"/>
    <col min="4414" max="4655" width="10" style="95"/>
    <col min="4656" max="4656" width="0.625" style="95" customWidth="1"/>
    <col min="4657" max="4657" width="13.25" style="95" customWidth="1"/>
    <col min="4658" max="4658" width="0.625" style="95" customWidth="1"/>
    <col min="4659" max="4659" width="49.125" style="95" customWidth="1"/>
    <col min="4660" max="4660" width="0.625" style="95" customWidth="1"/>
    <col min="4661" max="4661" width="8" style="95" customWidth="1"/>
    <col min="4662" max="4662" width="5.25" style="95" customWidth="1"/>
    <col min="4663" max="4663" width="0.625" style="95" customWidth="1"/>
    <col min="4664" max="4664" width="6.25" style="95" customWidth="1"/>
    <col min="4665" max="4665" width="5.75" style="95" customWidth="1"/>
    <col min="4666" max="4666" width="0.625" style="95" customWidth="1"/>
    <col min="4667" max="4667" width="6.875" style="95" customWidth="1"/>
    <col min="4668" max="4668" width="9.25" style="95" customWidth="1"/>
    <col min="4669" max="4669" width="0.625" style="95" customWidth="1"/>
    <col min="4670" max="4911" width="10" style="95"/>
    <col min="4912" max="4912" width="0.625" style="95" customWidth="1"/>
    <col min="4913" max="4913" width="13.25" style="95" customWidth="1"/>
    <col min="4914" max="4914" width="0.625" style="95" customWidth="1"/>
    <col min="4915" max="4915" width="49.125" style="95" customWidth="1"/>
    <col min="4916" max="4916" width="0.625" style="95" customWidth="1"/>
    <col min="4917" max="4917" width="8" style="95" customWidth="1"/>
    <col min="4918" max="4918" width="5.25" style="95" customWidth="1"/>
    <col min="4919" max="4919" width="0.625" style="95" customWidth="1"/>
    <col min="4920" max="4920" width="6.25" style="95" customWidth="1"/>
    <col min="4921" max="4921" width="5.75" style="95" customWidth="1"/>
    <col min="4922" max="4922" width="0.625" style="95" customWidth="1"/>
    <col min="4923" max="4923" width="6.875" style="95" customWidth="1"/>
    <col min="4924" max="4924" width="9.25" style="95" customWidth="1"/>
    <col min="4925" max="4925" width="0.625" style="95" customWidth="1"/>
    <col min="4926" max="5167" width="10" style="95"/>
    <col min="5168" max="5168" width="0.625" style="95" customWidth="1"/>
    <col min="5169" max="5169" width="13.25" style="95" customWidth="1"/>
    <col min="5170" max="5170" width="0.625" style="95" customWidth="1"/>
    <col min="5171" max="5171" width="49.125" style="95" customWidth="1"/>
    <col min="5172" max="5172" width="0.625" style="95" customWidth="1"/>
    <col min="5173" max="5173" width="8" style="95" customWidth="1"/>
    <col min="5174" max="5174" width="5.25" style="95" customWidth="1"/>
    <col min="5175" max="5175" width="0.625" style="95" customWidth="1"/>
    <col min="5176" max="5176" width="6.25" style="95" customWidth="1"/>
    <col min="5177" max="5177" width="5.75" style="95" customWidth="1"/>
    <col min="5178" max="5178" width="0.625" style="95" customWidth="1"/>
    <col min="5179" max="5179" width="6.875" style="95" customWidth="1"/>
    <col min="5180" max="5180" width="9.25" style="95" customWidth="1"/>
    <col min="5181" max="5181" width="0.625" style="95" customWidth="1"/>
    <col min="5182" max="5423" width="10" style="95"/>
    <col min="5424" max="5424" width="0.625" style="95" customWidth="1"/>
    <col min="5425" max="5425" width="13.25" style="95" customWidth="1"/>
    <col min="5426" max="5426" width="0.625" style="95" customWidth="1"/>
    <col min="5427" max="5427" width="49.125" style="95" customWidth="1"/>
    <col min="5428" max="5428" width="0.625" style="95" customWidth="1"/>
    <col min="5429" max="5429" width="8" style="95" customWidth="1"/>
    <col min="5430" max="5430" width="5.25" style="95" customWidth="1"/>
    <col min="5431" max="5431" width="0.625" style="95" customWidth="1"/>
    <col min="5432" max="5432" width="6.25" style="95" customWidth="1"/>
    <col min="5433" max="5433" width="5.75" style="95" customWidth="1"/>
    <col min="5434" max="5434" width="0.625" style="95" customWidth="1"/>
    <col min="5435" max="5435" width="6.875" style="95" customWidth="1"/>
    <col min="5436" max="5436" width="9.25" style="95" customWidth="1"/>
    <col min="5437" max="5437" width="0.625" style="95" customWidth="1"/>
    <col min="5438" max="5679" width="10" style="95"/>
    <col min="5680" max="5680" width="0.625" style="95" customWidth="1"/>
    <col min="5681" max="5681" width="13.25" style="95" customWidth="1"/>
    <col min="5682" max="5682" width="0.625" style="95" customWidth="1"/>
    <col min="5683" max="5683" width="49.125" style="95" customWidth="1"/>
    <col min="5684" max="5684" width="0.625" style="95" customWidth="1"/>
    <col min="5685" max="5685" width="8" style="95" customWidth="1"/>
    <col min="5686" max="5686" width="5.25" style="95" customWidth="1"/>
    <col min="5687" max="5687" width="0.625" style="95" customWidth="1"/>
    <col min="5688" max="5688" width="6.25" style="95" customWidth="1"/>
    <col min="5689" max="5689" width="5.75" style="95" customWidth="1"/>
    <col min="5690" max="5690" width="0.625" style="95" customWidth="1"/>
    <col min="5691" max="5691" width="6.875" style="95" customWidth="1"/>
    <col min="5692" max="5692" width="9.25" style="95" customWidth="1"/>
    <col min="5693" max="5693" width="0.625" style="95" customWidth="1"/>
    <col min="5694" max="5935" width="10" style="95"/>
    <col min="5936" max="5936" width="0.625" style="95" customWidth="1"/>
    <col min="5937" max="5937" width="13.25" style="95" customWidth="1"/>
    <col min="5938" max="5938" width="0.625" style="95" customWidth="1"/>
    <col min="5939" max="5939" width="49.125" style="95" customWidth="1"/>
    <col min="5940" max="5940" width="0.625" style="95" customWidth="1"/>
    <col min="5941" max="5941" width="8" style="95" customWidth="1"/>
    <col min="5942" max="5942" width="5.25" style="95" customWidth="1"/>
    <col min="5943" max="5943" width="0.625" style="95" customWidth="1"/>
    <col min="5944" max="5944" width="6.25" style="95" customWidth="1"/>
    <col min="5945" max="5945" width="5.75" style="95" customWidth="1"/>
    <col min="5946" max="5946" width="0.625" style="95" customWidth="1"/>
    <col min="5947" max="5947" width="6.875" style="95" customWidth="1"/>
    <col min="5948" max="5948" width="9.25" style="95" customWidth="1"/>
    <col min="5949" max="5949" width="0.625" style="95" customWidth="1"/>
    <col min="5950" max="6191" width="10" style="95"/>
    <col min="6192" max="6192" width="0.625" style="95" customWidth="1"/>
    <col min="6193" max="6193" width="13.25" style="95" customWidth="1"/>
    <col min="6194" max="6194" width="0.625" style="95" customWidth="1"/>
    <col min="6195" max="6195" width="49.125" style="95" customWidth="1"/>
    <col min="6196" max="6196" width="0.625" style="95" customWidth="1"/>
    <col min="6197" max="6197" width="8" style="95" customWidth="1"/>
    <col min="6198" max="6198" width="5.25" style="95" customWidth="1"/>
    <col min="6199" max="6199" width="0.625" style="95" customWidth="1"/>
    <col min="6200" max="6200" width="6.25" style="95" customWidth="1"/>
    <col min="6201" max="6201" width="5.75" style="95" customWidth="1"/>
    <col min="6202" max="6202" width="0.625" style="95" customWidth="1"/>
    <col min="6203" max="6203" width="6.875" style="95" customWidth="1"/>
    <col min="6204" max="6204" width="9.25" style="95" customWidth="1"/>
    <col min="6205" max="6205" width="0.625" style="95" customWidth="1"/>
    <col min="6206" max="6447" width="10" style="95"/>
    <col min="6448" max="6448" width="0.625" style="95" customWidth="1"/>
    <col min="6449" max="6449" width="13.25" style="95" customWidth="1"/>
    <col min="6450" max="6450" width="0.625" style="95" customWidth="1"/>
    <col min="6451" max="6451" width="49.125" style="95" customWidth="1"/>
    <col min="6452" max="6452" width="0.625" style="95" customWidth="1"/>
    <col min="6453" max="6453" width="8" style="95" customWidth="1"/>
    <col min="6454" max="6454" width="5.25" style="95" customWidth="1"/>
    <col min="6455" max="6455" width="0.625" style="95" customWidth="1"/>
    <col min="6456" max="6456" width="6.25" style="95" customWidth="1"/>
    <col min="6457" max="6457" width="5.75" style="95" customWidth="1"/>
    <col min="6458" max="6458" width="0.625" style="95" customWidth="1"/>
    <col min="6459" max="6459" width="6.875" style="95" customWidth="1"/>
    <col min="6460" max="6460" width="9.25" style="95" customWidth="1"/>
    <col min="6461" max="6461" width="0.625" style="95" customWidth="1"/>
    <col min="6462" max="6703" width="10" style="95"/>
    <col min="6704" max="6704" width="0.625" style="95" customWidth="1"/>
    <col min="6705" max="6705" width="13.25" style="95" customWidth="1"/>
    <col min="6706" max="6706" width="0.625" style="95" customWidth="1"/>
    <col min="6707" max="6707" width="49.125" style="95" customWidth="1"/>
    <col min="6708" max="6708" width="0.625" style="95" customWidth="1"/>
    <col min="6709" max="6709" width="8" style="95" customWidth="1"/>
    <col min="6710" max="6710" width="5.25" style="95" customWidth="1"/>
    <col min="6711" max="6711" width="0.625" style="95" customWidth="1"/>
    <col min="6712" max="6712" width="6.25" style="95" customWidth="1"/>
    <col min="6713" max="6713" width="5.75" style="95" customWidth="1"/>
    <col min="6714" max="6714" width="0.625" style="95" customWidth="1"/>
    <col min="6715" max="6715" width="6.875" style="95" customWidth="1"/>
    <col min="6716" max="6716" width="9.25" style="95" customWidth="1"/>
    <col min="6717" max="6717" width="0.625" style="95" customWidth="1"/>
    <col min="6718" max="6959" width="10" style="95"/>
    <col min="6960" max="6960" width="0.625" style="95" customWidth="1"/>
    <col min="6961" max="6961" width="13.25" style="95" customWidth="1"/>
    <col min="6962" max="6962" width="0.625" style="95" customWidth="1"/>
    <col min="6963" max="6963" width="49.125" style="95" customWidth="1"/>
    <col min="6964" max="6964" width="0.625" style="95" customWidth="1"/>
    <col min="6965" max="6965" width="8" style="95" customWidth="1"/>
    <col min="6966" max="6966" width="5.25" style="95" customWidth="1"/>
    <col min="6967" max="6967" width="0.625" style="95" customWidth="1"/>
    <col min="6968" max="6968" width="6.25" style="95" customWidth="1"/>
    <col min="6969" max="6969" width="5.75" style="95" customWidth="1"/>
    <col min="6970" max="6970" width="0.625" style="95" customWidth="1"/>
    <col min="6971" max="6971" width="6.875" style="95" customWidth="1"/>
    <col min="6972" max="6972" width="9.25" style="95" customWidth="1"/>
    <col min="6973" max="6973" width="0.625" style="95" customWidth="1"/>
    <col min="6974" max="7215" width="10" style="95"/>
    <col min="7216" max="7216" width="0.625" style="95" customWidth="1"/>
    <col min="7217" max="7217" width="13.25" style="95" customWidth="1"/>
    <col min="7218" max="7218" width="0.625" style="95" customWidth="1"/>
    <col min="7219" max="7219" width="49.125" style="95" customWidth="1"/>
    <col min="7220" max="7220" width="0.625" style="95" customWidth="1"/>
    <col min="7221" max="7221" width="8" style="95" customWidth="1"/>
    <col min="7222" max="7222" width="5.25" style="95" customWidth="1"/>
    <col min="7223" max="7223" width="0.625" style="95" customWidth="1"/>
    <col min="7224" max="7224" width="6.25" style="95" customWidth="1"/>
    <col min="7225" max="7225" width="5.75" style="95" customWidth="1"/>
    <col min="7226" max="7226" width="0.625" style="95" customWidth="1"/>
    <col min="7227" max="7227" width="6.875" style="95" customWidth="1"/>
    <col min="7228" max="7228" width="9.25" style="95" customWidth="1"/>
    <col min="7229" max="7229" width="0.625" style="95" customWidth="1"/>
    <col min="7230" max="7471" width="10" style="95"/>
    <col min="7472" max="7472" width="0.625" style="95" customWidth="1"/>
    <col min="7473" max="7473" width="13.25" style="95" customWidth="1"/>
    <col min="7474" max="7474" width="0.625" style="95" customWidth="1"/>
    <col min="7475" max="7475" width="49.125" style="95" customWidth="1"/>
    <col min="7476" max="7476" width="0.625" style="95" customWidth="1"/>
    <col min="7477" max="7477" width="8" style="95" customWidth="1"/>
    <col min="7478" max="7478" width="5.25" style="95" customWidth="1"/>
    <col min="7479" max="7479" width="0.625" style="95" customWidth="1"/>
    <col min="7480" max="7480" width="6.25" style="95" customWidth="1"/>
    <col min="7481" max="7481" width="5.75" style="95" customWidth="1"/>
    <col min="7482" max="7482" width="0.625" style="95" customWidth="1"/>
    <col min="7483" max="7483" width="6.875" style="95" customWidth="1"/>
    <col min="7484" max="7484" width="9.25" style="95" customWidth="1"/>
    <col min="7485" max="7485" width="0.625" style="95" customWidth="1"/>
    <col min="7486" max="7727" width="10" style="95"/>
    <col min="7728" max="7728" width="0.625" style="95" customWidth="1"/>
    <col min="7729" max="7729" width="13.25" style="95" customWidth="1"/>
    <col min="7730" max="7730" width="0.625" style="95" customWidth="1"/>
    <col min="7731" max="7731" width="49.125" style="95" customWidth="1"/>
    <col min="7732" max="7732" width="0.625" style="95" customWidth="1"/>
    <col min="7733" max="7733" width="8" style="95" customWidth="1"/>
    <col min="7734" max="7734" width="5.25" style="95" customWidth="1"/>
    <col min="7735" max="7735" width="0.625" style="95" customWidth="1"/>
    <col min="7736" max="7736" width="6.25" style="95" customWidth="1"/>
    <col min="7737" max="7737" width="5.75" style="95" customWidth="1"/>
    <col min="7738" max="7738" width="0.625" style="95" customWidth="1"/>
    <col min="7739" max="7739" width="6.875" style="95" customWidth="1"/>
    <col min="7740" max="7740" width="9.25" style="95" customWidth="1"/>
    <col min="7741" max="7741" width="0.625" style="95" customWidth="1"/>
    <col min="7742" max="7983" width="10" style="95"/>
    <col min="7984" max="7984" width="0.625" style="95" customWidth="1"/>
    <col min="7985" max="7985" width="13.25" style="95" customWidth="1"/>
    <col min="7986" max="7986" width="0.625" style="95" customWidth="1"/>
    <col min="7987" max="7987" width="49.125" style="95" customWidth="1"/>
    <col min="7988" max="7988" width="0.625" style="95" customWidth="1"/>
    <col min="7989" max="7989" width="8" style="95" customWidth="1"/>
    <col min="7990" max="7990" width="5.25" style="95" customWidth="1"/>
    <col min="7991" max="7991" width="0.625" style="95" customWidth="1"/>
    <col min="7992" max="7992" width="6.25" style="95" customWidth="1"/>
    <col min="7993" max="7993" width="5.75" style="95" customWidth="1"/>
    <col min="7994" max="7994" width="0.625" style="95" customWidth="1"/>
    <col min="7995" max="7995" width="6.875" style="95" customWidth="1"/>
    <col min="7996" max="7996" width="9.25" style="95" customWidth="1"/>
    <col min="7997" max="7997" width="0.625" style="95" customWidth="1"/>
    <col min="7998" max="8239" width="10" style="95"/>
    <col min="8240" max="8240" width="0.625" style="95" customWidth="1"/>
    <col min="8241" max="8241" width="13.25" style="95" customWidth="1"/>
    <col min="8242" max="8242" width="0.625" style="95" customWidth="1"/>
    <col min="8243" max="8243" width="49.125" style="95" customWidth="1"/>
    <col min="8244" max="8244" width="0.625" style="95" customWidth="1"/>
    <col min="8245" max="8245" width="8" style="95" customWidth="1"/>
    <col min="8246" max="8246" width="5.25" style="95" customWidth="1"/>
    <col min="8247" max="8247" width="0.625" style="95" customWidth="1"/>
    <col min="8248" max="8248" width="6.25" style="95" customWidth="1"/>
    <col min="8249" max="8249" width="5.75" style="95" customWidth="1"/>
    <col min="8250" max="8250" width="0.625" style="95" customWidth="1"/>
    <col min="8251" max="8251" width="6.875" style="95" customWidth="1"/>
    <col min="8252" max="8252" width="9.25" style="95" customWidth="1"/>
    <col min="8253" max="8253" width="0.625" style="95" customWidth="1"/>
    <col min="8254" max="8495" width="10" style="95"/>
    <col min="8496" max="8496" width="0.625" style="95" customWidth="1"/>
    <col min="8497" max="8497" width="13.25" style="95" customWidth="1"/>
    <col min="8498" max="8498" width="0.625" style="95" customWidth="1"/>
    <col min="8499" max="8499" width="49.125" style="95" customWidth="1"/>
    <col min="8500" max="8500" width="0.625" style="95" customWidth="1"/>
    <col min="8501" max="8501" width="8" style="95" customWidth="1"/>
    <col min="8502" max="8502" width="5.25" style="95" customWidth="1"/>
    <col min="8503" max="8503" width="0.625" style="95" customWidth="1"/>
    <col min="8504" max="8504" width="6.25" style="95" customWidth="1"/>
    <col min="8505" max="8505" width="5.75" style="95" customWidth="1"/>
    <col min="8506" max="8506" width="0.625" style="95" customWidth="1"/>
    <col min="8507" max="8507" width="6.875" style="95" customWidth="1"/>
    <col min="8508" max="8508" width="9.25" style="95" customWidth="1"/>
    <col min="8509" max="8509" width="0.625" style="95" customWidth="1"/>
    <col min="8510" max="8751" width="10" style="95"/>
    <col min="8752" max="8752" width="0.625" style="95" customWidth="1"/>
    <col min="8753" max="8753" width="13.25" style="95" customWidth="1"/>
    <col min="8754" max="8754" width="0.625" style="95" customWidth="1"/>
    <col min="8755" max="8755" width="49.125" style="95" customWidth="1"/>
    <col min="8756" max="8756" width="0.625" style="95" customWidth="1"/>
    <col min="8757" max="8757" width="8" style="95" customWidth="1"/>
    <col min="8758" max="8758" width="5.25" style="95" customWidth="1"/>
    <col min="8759" max="8759" width="0.625" style="95" customWidth="1"/>
    <col min="8760" max="8760" width="6.25" style="95" customWidth="1"/>
    <col min="8761" max="8761" width="5.75" style="95" customWidth="1"/>
    <col min="8762" max="8762" width="0.625" style="95" customWidth="1"/>
    <col min="8763" max="8763" width="6.875" style="95" customWidth="1"/>
    <col min="8764" max="8764" width="9.25" style="95" customWidth="1"/>
    <col min="8765" max="8765" width="0.625" style="95" customWidth="1"/>
    <col min="8766" max="9007" width="10" style="95"/>
    <col min="9008" max="9008" width="0.625" style="95" customWidth="1"/>
    <col min="9009" max="9009" width="13.25" style="95" customWidth="1"/>
    <col min="9010" max="9010" width="0.625" style="95" customWidth="1"/>
    <col min="9011" max="9011" width="49.125" style="95" customWidth="1"/>
    <col min="9012" max="9012" width="0.625" style="95" customWidth="1"/>
    <col min="9013" max="9013" width="8" style="95" customWidth="1"/>
    <col min="9014" max="9014" width="5.25" style="95" customWidth="1"/>
    <col min="9015" max="9015" width="0.625" style="95" customWidth="1"/>
    <col min="9016" max="9016" width="6.25" style="95" customWidth="1"/>
    <col min="9017" max="9017" width="5.75" style="95" customWidth="1"/>
    <col min="9018" max="9018" width="0.625" style="95" customWidth="1"/>
    <col min="9019" max="9019" width="6.875" style="95" customWidth="1"/>
    <col min="9020" max="9020" width="9.25" style="95" customWidth="1"/>
    <col min="9021" max="9021" width="0.625" style="95" customWidth="1"/>
    <col min="9022" max="9263" width="10" style="95"/>
    <col min="9264" max="9264" width="0.625" style="95" customWidth="1"/>
    <col min="9265" max="9265" width="13.25" style="95" customWidth="1"/>
    <col min="9266" max="9266" width="0.625" style="95" customWidth="1"/>
    <col min="9267" max="9267" width="49.125" style="95" customWidth="1"/>
    <col min="9268" max="9268" width="0.625" style="95" customWidth="1"/>
    <col min="9269" max="9269" width="8" style="95" customWidth="1"/>
    <col min="9270" max="9270" width="5.25" style="95" customWidth="1"/>
    <col min="9271" max="9271" width="0.625" style="95" customWidth="1"/>
    <col min="9272" max="9272" width="6.25" style="95" customWidth="1"/>
    <col min="9273" max="9273" width="5.75" style="95" customWidth="1"/>
    <col min="9274" max="9274" width="0.625" style="95" customWidth="1"/>
    <col min="9275" max="9275" width="6.875" style="95" customWidth="1"/>
    <col min="9276" max="9276" width="9.25" style="95" customWidth="1"/>
    <col min="9277" max="9277" width="0.625" style="95" customWidth="1"/>
    <col min="9278" max="9519" width="10" style="95"/>
    <col min="9520" max="9520" width="0.625" style="95" customWidth="1"/>
    <col min="9521" max="9521" width="13.25" style="95" customWidth="1"/>
    <col min="9522" max="9522" width="0.625" style="95" customWidth="1"/>
    <col min="9523" max="9523" width="49.125" style="95" customWidth="1"/>
    <col min="9524" max="9524" width="0.625" style="95" customWidth="1"/>
    <col min="9525" max="9525" width="8" style="95" customWidth="1"/>
    <col min="9526" max="9526" width="5.25" style="95" customWidth="1"/>
    <col min="9527" max="9527" width="0.625" style="95" customWidth="1"/>
    <col min="9528" max="9528" width="6.25" style="95" customWidth="1"/>
    <col min="9529" max="9529" width="5.75" style="95" customWidth="1"/>
    <col min="9530" max="9530" width="0.625" style="95" customWidth="1"/>
    <col min="9531" max="9531" width="6.875" style="95" customWidth="1"/>
    <col min="9532" max="9532" width="9.25" style="95" customWidth="1"/>
    <col min="9533" max="9533" width="0.625" style="95" customWidth="1"/>
    <col min="9534" max="9775" width="10" style="95"/>
    <col min="9776" max="9776" width="0.625" style="95" customWidth="1"/>
    <col min="9777" max="9777" width="13.25" style="95" customWidth="1"/>
    <col min="9778" max="9778" width="0.625" style="95" customWidth="1"/>
    <col min="9779" max="9779" width="49.125" style="95" customWidth="1"/>
    <col min="9780" max="9780" width="0.625" style="95" customWidth="1"/>
    <col min="9781" max="9781" width="8" style="95" customWidth="1"/>
    <col min="9782" max="9782" width="5.25" style="95" customWidth="1"/>
    <col min="9783" max="9783" width="0.625" style="95" customWidth="1"/>
    <col min="9784" max="9784" width="6.25" style="95" customWidth="1"/>
    <col min="9785" max="9785" width="5.75" style="95" customWidth="1"/>
    <col min="9786" max="9786" width="0.625" style="95" customWidth="1"/>
    <col min="9787" max="9787" width="6.875" style="95" customWidth="1"/>
    <col min="9788" max="9788" width="9.25" style="95" customWidth="1"/>
    <col min="9789" max="9789" width="0.625" style="95" customWidth="1"/>
    <col min="9790" max="10031" width="10" style="95"/>
    <col min="10032" max="10032" width="0.625" style="95" customWidth="1"/>
    <col min="10033" max="10033" width="13.25" style="95" customWidth="1"/>
    <col min="10034" max="10034" width="0.625" style="95" customWidth="1"/>
    <col min="10035" max="10035" width="49.125" style="95" customWidth="1"/>
    <col min="10036" max="10036" width="0.625" style="95" customWidth="1"/>
    <col min="10037" max="10037" width="8" style="95" customWidth="1"/>
    <col min="10038" max="10038" width="5.25" style="95" customWidth="1"/>
    <col min="10039" max="10039" width="0.625" style="95" customWidth="1"/>
    <col min="10040" max="10040" width="6.25" style="95" customWidth="1"/>
    <col min="10041" max="10041" width="5.75" style="95" customWidth="1"/>
    <col min="10042" max="10042" width="0.625" style="95" customWidth="1"/>
    <col min="10043" max="10043" width="6.875" style="95" customWidth="1"/>
    <col min="10044" max="10044" width="9.25" style="95" customWidth="1"/>
    <col min="10045" max="10045" width="0.625" style="95" customWidth="1"/>
    <col min="10046" max="10287" width="10" style="95"/>
    <col min="10288" max="10288" width="0.625" style="95" customWidth="1"/>
    <col min="10289" max="10289" width="13.25" style="95" customWidth="1"/>
    <col min="10290" max="10290" width="0.625" style="95" customWidth="1"/>
    <col min="10291" max="10291" width="49.125" style="95" customWidth="1"/>
    <col min="10292" max="10292" width="0.625" style="95" customWidth="1"/>
    <col min="10293" max="10293" width="8" style="95" customWidth="1"/>
    <col min="10294" max="10294" width="5.25" style="95" customWidth="1"/>
    <col min="10295" max="10295" width="0.625" style="95" customWidth="1"/>
    <col min="10296" max="10296" width="6.25" style="95" customWidth="1"/>
    <col min="10297" max="10297" width="5.75" style="95" customWidth="1"/>
    <col min="10298" max="10298" width="0.625" style="95" customWidth="1"/>
    <col min="10299" max="10299" width="6.875" style="95" customWidth="1"/>
    <col min="10300" max="10300" width="9.25" style="95" customWidth="1"/>
    <col min="10301" max="10301" width="0.625" style="95" customWidth="1"/>
    <col min="10302" max="10543" width="10" style="95"/>
    <col min="10544" max="10544" width="0.625" style="95" customWidth="1"/>
    <col min="10545" max="10545" width="13.25" style="95" customWidth="1"/>
    <col min="10546" max="10546" width="0.625" style="95" customWidth="1"/>
    <col min="10547" max="10547" width="49.125" style="95" customWidth="1"/>
    <col min="10548" max="10548" width="0.625" style="95" customWidth="1"/>
    <col min="10549" max="10549" width="8" style="95" customWidth="1"/>
    <col min="10550" max="10550" width="5.25" style="95" customWidth="1"/>
    <col min="10551" max="10551" width="0.625" style="95" customWidth="1"/>
    <col min="10552" max="10552" width="6.25" style="95" customWidth="1"/>
    <col min="10553" max="10553" width="5.75" style="95" customWidth="1"/>
    <col min="10554" max="10554" width="0.625" style="95" customWidth="1"/>
    <col min="10555" max="10555" width="6.875" style="95" customWidth="1"/>
    <col min="10556" max="10556" width="9.25" style="95" customWidth="1"/>
    <col min="10557" max="10557" width="0.625" style="95" customWidth="1"/>
    <col min="10558" max="10799" width="10" style="95"/>
    <col min="10800" max="10800" width="0.625" style="95" customWidth="1"/>
    <col min="10801" max="10801" width="13.25" style="95" customWidth="1"/>
    <col min="10802" max="10802" width="0.625" style="95" customWidth="1"/>
    <col min="10803" max="10803" width="49.125" style="95" customWidth="1"/>
    <col min="10804" max="10804" width="0.625" style="95" customWidth="1"/>
    <col min="10805" max="10805" width="8" style="95" customWidth="1"/>
    <col min="10806" max="10806" width="5.25" style="95" customWidth="1"/>
    <col min="10807" max="10807" width="0.625" style="95" customWidth="1"/>
    <col min="10808" max="10808" width="6.25" style="95" customWidth="1"/>
    <col min="10809" max="10809" width="5.75" style="95" customWidth="1"/>
    <col min="10810" max="10810" width="0.625" style="95" customWidth="1"/>
    <col min="10811" max="10811" width="6.875" style="95" customWidth="1"/>
    <col min="10812" max="10812" width="9.25" style="95" customWidth="1"/>
    <col min="10813" max="10813" width="0.625" style="95" customWidth="1"/>
    <col min="10814" max="11055" width="10" style="95"/>
    <col min="11056" max="11056" width="0.625" style="95" customWidth="1"/>
    <col min="11057" max="11057" width="13.25" style="95" customWidth="1"/>
    <col min="11058" max="11058" width="0.625" style="95" customWidth="1"/>
    <col min="11059" max="11059" width="49.125" style="95" customWidth="1"/>
    <col min="11060" max="11060" width="0.625" style="95" customWidth="1"/>
    <col min="11061" max="11061" width="8" style="95" customWidth="1"/>
    <col min="11062" max="11062" width="5.25" style="95" customWidth="1"/>
    <col min="11063" max="11063" width="0.625" style="95" customWidth="1"/>
    <col min="11064" max="11064" width="6.25" style="95" customWidth="1"/>
    <col min="11065" max="11065" width="5.75" style="95" customWidth="1"/>
    <col min="11066" max="11066" width="0.625" style="95" customWidth="1"/>
    <col min="11067" max="11067" width="6.875" style="95" customWidth="1"/>
    <col min="11068" max="11068" width="9.25" style="95" customWidth="1"/>
    <col min="11069" max="11069" width="0.625" style="95" customWidth="1"/>
    <col min="11070" max="11311" width="10" style="95"/>
    <col min="11312" max="11312" width="0.625" style="95" customWidth="1"/>
    <col min="11313" max="11313" width="13.25" style="95" customWidth="1"/>
    <col min="11314" max="11314" width="0.625" style="95" customWidth="1"/>
    <col min="11315" max="11315" width="49.125" style="95" customWidth="1"/>
    <col min="11316" max="11316" width="0.625" style="95" customWidth="1"/>
    <col min="11317" max="11317" width="8" style="95" customWidth="1"/>
    <col min="11318" max="11318" width="5.25" style="95" customWidth="1"/>
    <col min="11319" max="11319" width="0.625" style="95" customWidth="1"/>
    <col min="11320" max="11320" width="6.25" style="95" customWidth="1"/>
    <col min="11321" max="11321" width="5.75" style="95" customWidth="1"/>
    <col min="11322" max="11322" width="0.625" style="95" customWidth="1"/>
    <col min="11323" max="11323" width="6.875" style="95" customWidth="1"/>
    <col min="11324" max="11324" width="9.25" style="95" customWidth="1"/>
    <col min="11325" max="11325" width="0.625" style="95" customWidth="1"/>
    <col min="11326" max="11567" width="10" style="95"/>
    <col min="11568" max="11568" width="0.625" style="95" customWidth="1"/>
    <col min="11569" max="11569" width="13.25" style="95" customWidth="1"/>
    <col min="11570" max="11570" width="0.625" style="95" customWidth="1"/>
    <col min="11571" max="11571" width="49.125" style="95" customWidth="1"/>
    <col min="11572" max="11572" width="0.625" style="95" customWidth="1"/>
    <col min="11573" max="11573" width="8" style="95" customWidth="1"/>
    <col min="11574" max="11574" width="5.25" style="95" customWidth="1"/>
    <col min="11575" max="11575" width="0.625" style="95" customWidth="1"/>
    <col min="11576" max="11576" width="6.25" style="95" customWidth="1"/>
    <col min="11577" max="11577" width="5.75" style="95" customWidth="1"/>
    <col min="11578" max="11578" width="0.625" style="95" customWidth="1"/>
    <col min="11579" max="11579" width="6.875" style="95" customWidth="1"/>
    <col min="11580" max="11580" width="9.25" style="95" customWidth="1"/>
    <col min="11581" max="11581" width="0.625" style="95" customWidth="1"/>
    <col min="11582" max="11823" width="10" style="95"/>
    <col min="11824" max="11824" width="0.625" style="95" customWidth="1"/>
    <col min="11825" max="11825" width="13.25" style="95" customWidth="1"/>
    <col min="11826" max="11826" width="0.625" style="95" customWidth="1"/>
    <col min="11827" max="11827" width="49.125" style="95" customWidth="1"/>
    <col min="11828" max="11828" width="0.625" style="95" customWidth="1"/>
    <col min="11829" max="11829" width="8" style="95" customWidth="1"/>
    <col min="11830" max="11830" width="5.25" style="95" customWidth="1"/>
    <col min="11831" max="11831" width="0.625" style="95" customWidth="1"/>
    <col min="11832" max="11832" width="6.25" style="95" customWidth="1"/>
    <col min="11833" max="11833" width="5.75" style="95" customWidth="1"/>
    <col min="11834" max="11834" width="0.625" style="95" customWidth="1"/>
    <col min="11835" max="11835" width="6.875" style="95" customWidth="1"/>
    <col min="11836" max="11836" width="9.25" style="95" customWidth="1"/>
    <col min="11837" max="11837" width="0.625" style="95" customWidth="1"/>
    <col min="11838" max="12079" width="10" style="95"/>
    <col min="12080" max="12080" width="0.625" style="95" customWidth="1"/>
    <col min="12081" max="12081" width="13.25" style="95" customWidth="1"/>
    <col min="12082" max="12082" width="0.625" style="95" customWidth="1"/>
    <col min="12083" max="12083" width="49.125" style="95" customWidth="1"/>
    <col min="12084" max="12084" width="0.625" style="95" customWidth="1"/>
    <col min="12085" max="12085" width="8" style="95" customWidth="1"/>
    <col min="12086" max="12086" width="5.25" style="95" customWidth="1"/>
    <col min="12087" max="12087" width="0.625" style="95" customWidth="1"/>
    <col min="12088" max="12088" width="6.25" style="95" customWidth="1"/>
    <col min="12089" max="12089" width="5.75" style="95" customWidth="1"/>
    <col min="12090" max="12090" width="0.625" style="95" customWidth="1"/>
    <col min="12091" max="12091" width="6.875" style="95" customWidth="1"/>
    <col min="12092" max="12092" width="9.25" style="95" customWidth="1"/>
    <col min="12093" max="12093" width="0.625" style="95" customWidth="1"/>
    <col min="12094" max="12335" width="10" style="95"/>
    <col min="12336" max="12336" width="0.625" style="95" customWidth="1"/>
    <col min="12337" max="12337" width="13.25" style="95" customWidth="1"/>
    <col min="12338" max="12338" width="0.625" style="95" customWidth="1"/>
    <col min="12339" max="12339" width="49.125" style="95" customWidth="1"/>
    <col min="12340" max="12340" width="0.625" style="95" customWidth="1"/>
    <col min="12341" max="12341" width="8" style="95" customWidth="1"/>
    <col min="12342" max="12342" width="5.25" style="95" customWidth="1"/>
    <col min="12343" max="12343" width="0.625" style="95" customWidth="1"/>
    <col min="12344" max="12344" width="6.25" style="95" customWidth="1"/>
    <col min="12345" max="12345" width="5.75" style="95" customWidth="1"/>
    <col min="12346" max="12346" width="0.625" style="95" customWidth="1"/>
    <col min="12347" max="12347" width="6.875" style="95" customWidth="1"/>
    <col min="12348" max="12348" width="9.25" style="95" customWidth="1"/>
    <col min="12349" max="12349" width="0.625" style="95" customWidth="1"/>
    <col min="12350" max="12591" width="10" style="95"/>
    <col min="12592" max="12592" width="0.625" style="95" customWidth="1"/>
    <col min="12593" max="12593" width="13.25" style="95" customWidth="1"/>
    <col min="12594" max="12594" width="0.625" style="95" customWidth="1"/>
    <col min="12595" max="12595" width="49.125" style="95" customWidth="1"/>
    <col min="12596" max="12596" width="0.625" style="95" customWidth="1"/>
    <col min="12597" max="12597" width="8" style="95" customWidth="1"/>
    <col min="12598" max="12598" width="5.25" style="95" customWidth="1"/>
    <col min="12599" max="12599" width="0.625" style="95" customWidth="1"/>
    <col min="12600" max="12600" width="6.25" style="95" customWidth="1"/>
    <col min="12601" max="12601" width="5.75" style="95" customWidth="1"/>
    <col min="12602" max="12602" width="0.625" style="95" customWidth="1"/>
    <col min="12603" max="12603" width="6.875" style="95" customWidth="1"/>
    <col min="12604" max="12604" width="9.25" style="95" customWidth="1"/>
    <col min="12605" max="12605" width="0.625" style="95" customWidth="1"/>
    <col min="12606" max="12847" width="10" style="95"/>
    <col min="12848" max="12848" width="0.625" style="95" customWidth="1"/>
    <col min="12849" max="12849" width="13.25" style="95" customWidth="1"/>
    <col min="12850" max="12850" width="0.625" style="95" customWidth="1"/>
    <col min="12851" max="12851" width="49.125" style="95" customWidth="1"/>
    <col min="12852" max="12852" width="0.625" style="95" customWidth="1"/>
    <col min="12853" max="12853" width="8" style="95" customWidth="1"/>
    <col min="12854" max="12854" width="5.25" style="95" customWidth="1"/>
    <col min="12855" max="12855" width="0.625" style="95" customWidth="1"/>
    <col min="12856" max="12856" width="6.25" style="95" customWidth="1"/>
    <col min="12857" max="12857" width="5.75" style="95" customWidth="1"/>
    <col min="12858" max="12858" width="0.625" style="95" customWidth="1"/>
    <col min="12859" max="12859" width="6.875" style="95" customWidth="1"/>
    <col min="12860" max="12860" width="9.25" style="95" customWidth="1"/>
    <col min="12861" max="12861" width="0.625" style="95" customWidth="1"/>
    <col min="12862" max="13103" width="10" style="95"/>
    <col min="13104" max="13104" width="0.625" style="95" customWidth="1"/>
    <col min="13105" max="13105" width="13.25" style="95" customWidth="1"/>
    <col min="13106" max="13106" width="0.625" style="95" customWidth="1"/>
    <col min="13107" max="13107" width="49.125" style="95" customWidth="1"/>
    <col min="13108" max="13108" width="0.625" style="95" customWidth="1"/>
    <col min="13109" max="13109" width="8" style="95" customWidth="1"/>
    <col min="13110" max="13110" width="5.25" style="95" customWidth="1"/>
    <col min="13111" max="13111" width="0.625" style="95" customWidth="1"/>
    <col min="13112" max="13112" width="6.25" style="95" customWidth="1"/>
    <col min="13113" max="13113" width="5.75" style="95" customWidth="1"/>
    <col min="13114" max="13114" width="0.625" style="95" customWidth="1"/>
    <col min="13115" max="13115" width="6.875" style="95" customWidth="1"/>
    <col min="13116" max="13116" width="9.25" style="95" customWidth="1"/>
    <col min="13117" max="13117" width="0.625" style="95" customWidth="1"/>
    <col min="13118" max="13359" width="10" style="95"/>
    <col min="13360" max="13360" width="0.625" style="95" customWidth="1"/>
    <col min="13361" max="13361" width="13.25" style="95" customWidth="1"/>
    <col min="13362" max="13362" width="0.625" style="95" customWidth="1"/>
    <col min="13363" max="13363" width="49.125" style="95" customWidth="1"/>
    <col min="13364" max="13364" width="0.625" style="95" customWidth="1"/>
    <col min="13365" max="13365" width="8" style="95" customWidth="1"/>
    <col min="13366" max="13366" width="5.25" style="95" customWidth="1"/>
    <col min="13367" max="13367" width="0.625" style="95" customWidth="1"/>
    <col min="13368" max="13368" width="6.25" style="95" customWidth="1"/>
    <col min="13369" max="13369" width="5.75" style="95" customWidth="1"/>
    <col min="13370" max="13370" width="0.625" style="95" customWidth="1"/>
    <col min="13371" max="13371" width="6.875" style="95" customWidth="1"/>
    <col min="13372" max="13372" width="9.25" style="95" customWidth="1"/>
    <col min="13373" max="13373" width="0.625" style="95" customWidth="1"/>
    <col min="13374" max="13615" width="10" style="95"/>
    <col min="13616" max="13616" width="0.625" style="95" customWidth="1"/>
    <col min="13617" max="13617" width="13.25" style="95" customWidth="1"/>
    <col min="13618" max="13618" width="0.625" style="95" customWidth="1"/>
    <col min="13619" max="13619" width="49.125" style="95" customWidth="1"/>
    <col min="13620" max="13620" width="0.625" style="95" customWidth="1"/>
    <col min="13621" max="13621" width="8" style="95" customWidth="1"/>
    <col min="13622" max="13622" width="5.25" style="95" customWidth="1"/>
    <col min="13623" max="13623" width="0.625" style="95" customWidth="1"/>
    <col min="13624" max="13624" width="6.25" style="95" customWidth="1"/>
    <col min="13625" max="13625" width="5.75" style="95" customWidth="1"/>
    <col min="13626" max="13626" width="0.625" style="95" customWidth="1"/>
    <col min="13627" max="13627" width="6.875" style="95" customWidth="1"/>
    <col min="13628" max="13628" width="9.25" style="95" customWidth="1"/>
    <col min="13629" max="13629" width="0.625" style="95" customWidth="1"/>
    <col min="13630" max="16384" width="10" style="95"/>
  </cols>
  <sheetData>
    <row r="1" spans="1:17" customFormat="1" ht="18.75" x14ac:dyDescent="0.2">
      <c r="A1" s="456" t="s">
        <v>170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</row>
    <row r="2" spans="1:17" customFormat="1" ht="15.75" x14ac:dyDescent="0.2">
      <c r="A2" s="325" t="s">
        <v>171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</row>
    <row r="3" spans="1:17" customFormat="1" ht="14.25" x14ac:dyDescent="0.2">
      <c r="A3" s="328" t="s">
        <v>172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</row>
    <row r="4" spans="1:17" customFormat="1" ht="14.25" x14ac:dyDescent="0.2">
      <c r="A4" s="328" t="s">
        <v>173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</row>
    <row r="5" spans="1:17" s="4" customFormat="1" ht="15" x14ac:dyDescent="0.25">
      <c r="A5" s="24"/>
      <c r="B5" s="24" t="s">
        <v>65</v>
      </c>
      <c r="C5" s="25" t="s">
        <v>66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7" s="4" customFormat="1" ht="15" x14ac:dyDescent="0.25">
      <c r="A6" s="24"/>
      <c r="B6" s="24" t="s">
        <v>67</v>
      </c>
      <c r="C6" s="25" t="s">
        <v>68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7" s="4" customFormat="1" ht="15" x14ac:dyDescent="0.25">
      <c r="A7" s="24"/>
      <c r="B7" s="24" t="s">
        <v>69</v>
      </c>
      <c r="C7" s="25" t="s">
        <v>170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7" s="4" customFormat="1" ht="15" x14ac:dyDescent="0.25">
      <c r="A8" s="24"/>
      <c r="B8" s="24" t="s">
        <v>70</v>
      </c>
      <c r="C8" s="26" t="s">
        <v>411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7" s="39" customFormat="1" ht="18" x14ac:dyDescent="0.2">
      <c r="A9" s="523" t="s">
        <v>123</v>
      </c>
      <c r="B9" s="524"/>
      <c r="C9" s="524"/>
      <c r="D9" s="524"/>
      <c r="E9" s="524"/>
      <c r="F9" s="524"/>
      <c r="G9" s="524"/>
      <c r="H9" s="524"/>
      <c r="I9" s="524"/>
      <c r="J9" s="524"/>
      <c r="K9" s="524"/>
      <c r="L9" s="524"/>
      <c r="M9" s="524"/>
      <c r="N9" s="524"/>
      <c r="O9" s="524"/>
      <c r="P9" s="524"/>
      <c r="Q9" s="525"/>
    </row>
    <row r="10" spans="1:17" s="39" customFormat="1" ht="3.95" customHeight="1" thickBot="1" x14ac:dyDescent="0.25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  <c r="Q10" s="42"/>
    </row>
    <row r="11" spans="1:17" s="39" customFormat="1" ht="12" customHeight="1" x14ac:dyDescent="0.2">
      <c r="A11" s="40"/>
      <c r="B11" s="50" t="s">
        <v>124</v>
      </c>
      <c r="D11" s="526" t="s">
        <v>125</v>
      </c>
      <c r="E11" s="527"/>
      <c r="F11" s="527"/>
      <c r="G11" s="527"/>
      <c r="H11" s="527"/>
      <c r="I11" s="527"/>
      <c r="J11" s="527"/>
      <c r="K11" s="527"/>
      <c r="L11" s="527"/>
      <c r="M11" s="528"/>
      <c r="N11" s="41"/>
      <c r="O11" s="526" t="s">
        <v>126</v>
      </c>
      <c r="P11" s="528"/>
      <c r="Q11" s="42"/>
    </row>
    <row r="12" spans="1:17" s="39" customFormat="1" ht="10.5" customHeight="1" x14ac:dyDescent="0.2">
      <c r="A12" s="40"/>
      <c r="B12" s="51"/>
      <c r="D12" s="529"/>
      <c r="E12" s="530"/>
      <c r="F12" s="530"/>
      <c r="G12" s="530"/>
      <c r="H12" s="530"/>
      <c r="I12" s="530"/>
      <c r="J12" s="530"/>
      <c r="K12" s="530"/>
      <c r="L12" s="530"/>
      <c r="M12" s="531"/>
      <c r="O12" s="532" t="s">
        <v>127</v>
      </c>
      <c r="P12" s="533"/>
      <c r="Q12" s="42"/>
    </row>
    <row r="13" spans="1:17" s="39" customFormat="1" ht="3.95" customHeight="1" thickBot="1" x14ac:dyDescent="0.25">
      <c r="A13" s="40"/>
      <c r="F13" s="41"/>
      <c r="G13" s="41"/>
      <c r="H13" s="41"/>
      <c r="I13" s="41"/>
      <c r="J13" s="41"/>
      <c r="K13" s="41"/>
      <c r="L13" s="41"/>
      <c r="M13" s="41"/>
      <c r="O13" s="41"/>
      <c r="P13" s="41"/>
      <c r="Q13" s="42"/>
    </row>
    <row r="14" spans="1:17" s="39" customFormat="1" ht="26.25" customHeight="1" x14ac:dyDescent="0.2">
      <c r="A14" s="40"/>
      <c r="B14" s="52" t="s">
        <v>128</v>
      </c>
      <c r="C14" s="53"/>
      <c r="D14" s="54" t="s">
        <v>129</v>
      </c>
      <c r="E14" s="55"/>
      <c r="F14" s="55"/>
      <c r="G14" s="55"/>
      <c r="H14" s="55"/>
      <c r="I14" s="55"/>
      <c r="J14" s="56"/>
      <c r="K14" s="57"/>
      <c r="L14" s="58" t="s">
        <v>130</v>
      </c>
      <c r="M14" s="59"/>
      <c r="N14" s="59"/>
      <c r="O14" s="59"/>
      <c r="P14" s="60">
        <v>1</v>
      </c>
      <c r="Q14" s="42"/>
    </row>
    <row r="15" spans="1:17" s="39" customFormat="1" ht="3.75" customHeight="1" x14ac:dyDescent="0.2">
      <c r="A15" s="40"/>
      <c r="B15" s="61"/>
      <c r="Q15" s="42"/>
    </row>
    <row r="16" spans="1:17" s="39" customFormat="1" x14ac:dyDescent="0.2">
      <c r="A16" s="40"/>
      <c r="B16" s="534" t="s">
        <v>75</v>
      </c>
      <c r="C16" s="535"/>
      <c r="D16" s="534" t="s">
        <v>131</v>
      </c>
      <c r="E16" s="535"/>
      <c r="F16" s="538" t="s">
        <v>132</v>
      </c>
      <c r="G16" s="538" t="s">
        <v>133</v>
      </c>
      <c r="H16" s="538" t="s">
        <v>134</v>
      </c>
      <c r="I16" s="538" t="s">
        <v>135</v>
      </c>
      <c r="J16" s="540" t="s">
        <v>136</v>
      </c>
      <c r="K16" s="541"/>
      <c r="L16" s="542"/>
      <c r="M16" s="63" t="s">
        <v>137</v>
      </c>
      <c r="N16" s="63"/>
      <c r="O16" s="64"/>
      <c r="P16" s="62" t="s">
        <v>137</v>
      </c>
      <c r="Q16" s="42"/>
    </row>
    <row r="17" spans="1:18" s="39" customFormat="1" x14ac:dyDescent="0.2">
      <c r="A17" s="40"/>
      <c r="B17" s="536"/>
      <c r="C17" s="537"/>
      <c r="D17" s="536"/>
      <c r="E17" s="537"/>
      <c r="F17" s="539"/>
      <c r="G17" s="539"/>
      <c r="H17" s="539"/>
      <c r="I17" s="539"/>
      <c r="J17" s="543"/>
      <c r="K17" s="544"/>
      <c r="L17" s="545"/>
      <c r="M17" s="65" t="s">
        <v>138</v>
      </c>
      <c r="N17" s="65"/>
      <c r="O17" s="66"/>
      <c r="P17" s="67" t="s">
        <v>139</v>
      </c>
      <c r="Q17" s="42"/>
    </row>
    <row r="18" spans="1:18" s="39" customFormat="1" ht="24" x14ac:dyDescent="0.2">
      <c r="A18" s="40"/>
      <c r="B18" s="68">
        <v>90777</v>
      </c>
      <c r="C18" s="69"/>
      <c r="D18" s="70" t="s">
        <v>140</v>
      </c>
      <c r="E18" s="71"/>
      <c r="F18" s="72">
        <v>2.3169876280837731</v>
      </c>
      <c r="G18" s="72">
        <v>20</v>
      </c>
      <c r="H18" s="72">
        <v>3</v>
      </c>
      <c r="I18" s="73">
        <f>H18*G18*F18</f>
        <v>139.01925768502639</v>
      </c>
      <c r="J18" s="546" t="s">
        <v>127</v>
      </c>
      <c r="K18" s="547" t="s">
        <v>140</v>
      </c>
      <c r="L18" s="548" t="s">
        <v>140</v>
      </c>
      <c r="M18" s="549">
        <v>128.88999999999999</v>
      </c>
      <c r="N18" s="550" t="s">
        <v>140</v>
      </c>
      <c r="O18" s="551" t="s">
        <v>140</v>
      </c>
      <c r="P18" s="74">
        <f>M18*I18</f>
        <v>17918.192123023051</v>
      </c>
      <c r="Q18" s="42"/>
      <c r="R18" s="39" t="s">
        <v>114</v>
      </c>
    </row>
    <row r="19" spans="1:18" s="39" customFormat="1" ht="24" x14ac:dyDescent="0.2">
      <c r="A19" s="40"/>
      <c r="B19" s="75">
        <v>90776</v>
      </c>
      <c r="C19" s="76"/>
      <c r="D19" s="77" t="s">
        <v>141</v>
      </c>
      <c r="E19" s="78"/>
      <c r="F19" s="79">
        <v>7.5</v>
      </c>
      <c r="G19" s="79">
        <v>24</v>
      </c>
      <c r="H19" s="79">
        <v>3</v>
      </c>
      <c r="I19" s="80">
        <f>H19*G19*F19</f>
        <v>540</v>
      </c>
      <c r="J19" s="552" t="s">
        <v>127</v>
      </c>
      <c r="K19" s="553" t="s">
        <v>141</v>
      </c>
      <c r="L19" s="554" t="s">
        <v>141</v>
      </c>
      <c r="M19" s="555">
        <v>31.47</v>
      </c>
      <c r="N19" s="556" t="s">
        <v>141</v>
      </c>
      <c r="O19" s="557" t="s">
        <v>141</v>
      </c>
      <c r="P19" s="74">
        <f>M19*I19</f>
        <v>16993.8</v>
      </c>
      <c r="Q19" s="42"/>
      <c r="R19" s="39" t="s">
        <v>114</v>
      </c>
    </row>
    <row r="20" spans="1:18" s="39" customFormat="1" x14ac:dyDescent="0.2">
      <c r="A20" s="40"/>
      <c r="B20" s="81"/>
      <c r="C20" s="82"/>
      <c r="D20" s="83">
        <v>0</v>
      </c>
      <c r="E20" s="82"/>
      <c r="F20" s="84"/>
      <c r="G20" s="84"/>
      <c r="H20" s="84"/>
      <c r="I20" s="85"/>
      <c r="J20" s="558">
        <v>0</v>
      </c>
      <c r="K20" s="559">
        <v>0</v>
      </c>
      <c r="L20" s="560">
        <v>0</v>
      </c>
      <c r="M20" s="561">
        <v>0</v>
      </c>
      <c r="N20" s="562">
        <v>0</v>
      </c>
      <c r="O20" s="563">
        <v>0</v>
      </c>
      <c r="P20" s="86">
        <v>0</v>
      </c>
      <c r="Q20" s="42"/>
      <c r="R20" s="39" t="s">
        <v>114</v>
      </c>
    </row>
    <row r="21" spans="1:18" s="39" customFormat="1" ht="13.5" thickBot="1" x14ac:dyDescent="0.25">
      <c r="A21" s="87"/>
      <c r="B21" s="88"/>
      <c r="C21" s="89"/>
      <c r="D21" s="90" t="s">
        <v>142</v>
      </c>
      <c r="E21" s="90"/>
      <c r="F21" s="91"/>
      <c r="G21" s="91"/>
      <c r="H21" s="91"/>
      <c r="I21" s="91"/>
      <c r="J21" s="91"/>
      <c r="K21" s="91"/>
      <c r="L21" s="91"/>
      <c r="M21" s="91"/>
      <c r="N21" s="91"/>
      <c r="O21" s="92"/>
      <c r="P21" s="93">
        <f>TRUNC(P18+P19,2)</f>
        <v>34911.99</v>
      </c>
      <c r="Q21" s="94"/>
    </row>
  </sheetData>
  <mergeCells count="21">
    <mergeCell ref="J18:L18"/>
    <mergeCell ref="M18:O18"/>
    <mergeCell ref="J19:L19"/>
    <mergeCell ref="M19:O19"/>
    <mergeCell ref="J20:L20"/>
    <mergeCell ref="M20:O20"/>
    <mergeCell ref="D11:M12"/>
    <mergeCell ref="O11:P11"/>
    <mergeCell ref="O12:P12"/>
    <mergeCell ref="B16:C17"/>
    <mergeCell ref="D16:E17"/>
    <mergeCell ref="F16:F17"/>
    <mergeCell ref="G16:G17"/>
    <mergeCell ref="H16:H17"/>
    <mergeCell ref="I16:I17"/>
    <mergeCell ref="J16:L17"/>
    <mergeCell ref="A9:Q9"/>
    <mergeCell ref="A1:Q1"/>
    <mergeCell ref="A2:Q2"/>
    <mergeCell ref="A3:Q3"/>
    <mergeCell ref="A4:Q4"/>
  </mergeCells>
  <dataValidations count="1">
    <dataValidation type="list" allowBlank="1" showInputMessage="1" showErrorMessage="1" sqref="R18:R20" xr:uid="{00000000-0002-0000-0900-000000000000}">
      <formula1>$S$1:$S$2</formula1>
    </dataValidation>
  </dataValidations>
  <printOptions horizontalCentered="1"/>
  <pageMargins left="0.15748031496062992" right="0.19685039370078741" top="0.78740157480314965" bottom="0.78740157480314965" header="0.15748031496062992" footer="0.31496062992125984"/>
  <pageSetup paperSize="9" scale="82" firstPageNumber="25" fitToHeight="0" orientation="landscape" useFirstPageNumber="1" r:id="rId1"/>
  <headerFooter scaleWithDoc="0">
    <oddFooter>&amp;C&amp;"-,Negrito itálico"Kaik Eduardo Silva Vilar
Engenheiro Civil
CREA: 241510947-9</oddFooter>
  </headerFooter>
  <colBreaks count="1" manualBreakCount="1">
    <brk id="17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006"/>
  <sheetViews>
    <sheetView view="pageBreakPreview" topLeftCell="A29" zoomScale="85" zoomScaleNormal="100" zoomScaleSheetLayoutView="85" workbookViewId="0">
      <selection activeCell="B10" sqref="B10:Q10"/>
    </sheetView>
  </sheetViews>
  <sheetFormatPr defaultColWidth="12.625" defaultRowHeight="15" customHeight="1" x14ac:dyDescent="0.25"/>
  <cols>
    <col min="1" max="1" width="1.625" style="11" customWidth="1"/>
    <col min="2" max="2" width="7.625" style="11" customWidth="1"/>
    <col min="3" max="3" width="11.75" style="11" customWidth="1"/>
    <col min="4" max="4" width="26.75" style="11" customWidth="1"/>
    <col min="5" max="5" width="16.125" style="11" customWidth="1"/>
    <col min="6" max="6" width="13.625" style="11" customWidth="1"/>
    <col min="7" max="7" width="10.875" style="11" customWidth="1"/>
    <col min="8" max="8" width="12.625" style="11"/>
    <col min="9" max="9" width="9.5" style="11" customWidth="1"/>
    <col min="10" max="10" width="7.625" style="11" customWidth="1"/>
    <col min="11" max="11" width="12.5" style="11" bestFit="1" customWidth="1"/>
    <col min="12" max="13" width="7.625" style="11" customWidth="1"/>
    <col min="14" max="14" width="8.625" style="11" customWidth="1"/>
    <col min="15" max="15" width="9.25" style="11" customWidth="1"/>
    <col min="16" max="16" width="10.125" style="11" customWidth="1"/>
    <col min="17" max="17" width="15.75" style="11" customWidth="1"/>
    <col min="18" max="16384" width="12.625" style="11"/>
  </cols>
  <sheetData>
    <row r="1" spans="1:18" ht="7.5" customHeight="1" x14ac:dyDescent="0.25">
      <c r="B1" s="8"/>
      <c r="C1" s="9"/>
      <c r="D1" s="9"/>
      <c r="E1" s="10"/>
      <c r="F1" s="9"/>
      <c r="G1" s="10"/>
      <c r="H1" s="9"/>
      <c r="I1" s="10"/>
      <c r="J1" s="9"/>
      <c r="K1" s="10"/>
      <c r="L1" s="10"/>
      <c r="M1" s="9"/>
      <c r="N1" s="454"/>
      <c r="O1" s="455"/>
      <c r="P1" s="12"/>
    </row>
    <row r="2" spans="1:18" customFormat="1" ht="18.75" x14ac:dyDescent="0.2">
      <c r="A2" s="456" t="s">
        <v>170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</row>
    <row r="3" spans="1:18" customFormat="1" ht="15.75" x14ac:dyDescent="0.2">
      <c r="A3" s="325" t="s">
        <v>171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</row>
    <row r="4" spans="1:18" customFormat="1" ht="14.25" x14ac:dyDescent="0.2">
      <c r="A4" s="328" t="s">
        <v>172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</row>
    <row r="5" spans="1:18" customFormat="1" ht="14.25" x14ac:dyDescent="0.2">
      <c r="A5" s="328" t="s">
        <v>173</v>
      </c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</row>
    <row r="6" spans="1:18" s="4" customFormat="1" x14ac:dyDescent="0.25">
      <c r="A6" s="24" t="s">
        <v>65</v>
      </c>
      <c r="B6" s="25"/>
      <c r="C6" s="25" t="s">
        <v>66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8" s="4" customFormat="1" x14ac:dyDescent="0.25">
      <c r="A7" s="24" t="s">
        <v>67</v>
      </c>
      <c r="B7" s="25"/>
      <c r="C7" s="25" t="s">
        <v>68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8" s="4" customFormat="1" x14ac:dyDescent="0.25">
      <c r="A8" s="24" t="s">
        <v>69</v>
      </c>
      <c r="B8" s="25"/>
      <c r="C8" s="25" t="s">
        <v>170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8" s="4" customFormat="1" x14ac:dyDescent="0.25">
      <c r="A9" s="24" t="s">
        <v>70</v>
      </c>
      <c r="B9" s="26"/>
      <c r="C9" s="312">
        <v>45870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8" s="4" customFormat="1" ht="20.25" customHeight="1" thickBot="1" x14ac:dyDescent="0.3">
      <c r="A10" s="11"/>
      <c r="B10" s="572" t="s">
        <v>30</v>
      </c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</row>
    <row r="11" spans="1:18" ht="13.5" customHeight="1" thickBot="1" x14ac:dyDescent="0.3">
      <c r="B11" s="21" t="s">
        <v>86</v>
      </c>
      <c r="C11" s="564" t="s">
        <v>87</v>
      </c>
      <c r="D11" s="574"/>
      <c r="E11" s="574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23" t="s">
        <v>88</v>
      </c>
    </row>
    <row r="12" spans="1:18" ht="13.5" customHeight="1" thickBot="1" x14ac:dyDescent="0.3">
      <c r="B12" s="564" t="s">
        <v>89</v>
      </c>
      <c r="C12" s="565"/>
      <c r="D12" s="565"/>
      <c r="E12" s="565"/>
      <c r="F12" s="565"/>
      <c r="G12" s="565"/>
      <c r="H12" s="565"/>
      <c r="I12" s="565"/>
      <c r="J12" s="565"/>
      <c r="K12" s="565"/>
      <c r="L12" s="565"/>
      <c r="M12" s="565"/>
      <c r="N12" s="565"/>
      <c r="O12" s="565"/>
      <c r="P12" s="565"/>
      <c r="Q12" s="566"/>
    </row>
    <row r="13" spans="1:18" ht="50.25" customHeight="1" x14ac:dyDescent="0.25">
      <c r="B13" s="567" t="s">
        <v>90</v>
      </c>
      <c r="C13" s="567" t="s">
        <v>75</v>
      </c>
      <c r="D13" s="569" t="s">
        <v>91</v>
      </c>
      <c r="E13" s="570"/>
      <c r="F13" s="567" t="s">
        <v>92</v>
      </c>
      <c r="G13" s="569" t="s">
        <v>93</v>
      </c>
      <c r="H13" s="570"/>
      <c r="I13" s="570"/>
      <c r="J13" s="569" t="s">
        <v>94</v>
      </c>
      <c r="K13" s="571" t="s">
        <v>72</v>
      </c>
      <c r="L13" s="571" t="s">
        <v>95</v>
      </c>
      <c r="M13" s="571" t="s">
        <v>96</v>
      </c>
      <c r="N13" s="571" t="s">
        <v>97</v>
      </c>
      <c r="O13" s="571" t="s">
        <v>73</v>
      </c>
      <c r="P13" s="581" t="s">
        <v>98</v>
      </c>
      <c r="Q13" s="581" t="s">
        <v>99</v>
      </c>
    </row>
    <row r="14" spans="1:18" ht="24" customHeight="1" x14ac:dyDescent="0.25">
      <c r="B14" s="568"/>
      <c r="C14" s="568"/>
      <c r="D14" s="568"/>
      <c r="E14" s="568"/>
      <c r="F14" s="568"/>
      <c r="G14" s="568"/>
      <c r="H14" s="568"/>
      <c r="I14" s="568"/>
      <c r="J14" s="568"/>
      <c r="K14" s="568"/>
      <c r="L14" s="568"/>
      <c r="M14" s="568"/>
      <c r="N14" s="568"/>
      <c r="O14" s="568"/>
      <c r="P14" s="568"/>
      <c r="Q14" s="568"/>
    </row>
    <row r="15" spans="1:18" ht="26.25" customHeight="1" x14ac:dyDescent="0.25">
      <c r="B15" s="14">
        <v>1</v>
      </c>
      <c r="C15" s="15" t="s">
        <v>100</v>
      </c>
      <c r="D15" s="582" t="s">
        <v>76</v>
      </c>
      <c r="E15" s="578"/>
      <c r="F15" s="16" t="s">
        <v>101</v>
      </c>
      <c r="G15" s="577" t="s">
        <v>102</v>
      </c>
      <c r="H15" s="578"/>
      <c r="I15" s="578"/>
      <c r="J15" s="17">
        <v>1</v>
      </c>
      <c r="K15" s="18" t="s">
        <v>109</v>
      </c>
      <c r="L15" s="18">
        <v>140</v>
      </c>
      <c r="M15" s="18">
        <v>2</v>
      </c>
      <c r="N15" s="18">
        <v>0.5</v>
      </c>
      <c r="O15" s="18">
        <v>60</v>
      </c>
      <c r="P15" s="18">
        <v>412.78</v>
      </c>
      <c r="Q15" s="19">
        <f t="shared" ref="Q15:Q22" si="0">ROUND((L15*M15*N15)/O15,2)*P15</f>
        <v>961.77739999999994</v>
      </c>
      <c r="R15" s="120">
        <f>SUM(Q15:Q19)</f>
        <v>5774.7921999999999</v>
      </c>
    </row>
    <row r="16" spans="1:18" ht="30.75" customHeight="1" x14ac:dyDescent="0.25">
      <c r="B16" s="14">
        <v>2</v>
      </c>
      <c r="C16" s="15" t="s">
        <v>103</v>
      </c>
      <c r="D16" s="575" t="s">
        <v>77</v>
      </c>
      <c r="E16" s="576"/>
      <c r="F16" s="16" t="s">
        <v>101</v>
      </c>
      <c r="G16" s="577" t="s">
        <v>102</v>
      </c>
      <c r="H16" s="578"/>
      <c r="I16" s="578"/>
      <c r="J16" s="17">
        <v>1</v>
      </c>
      <c r="K16" s="18" t="s">
        <v>109</v>
      </c>
      <c r="L16" s="18">
        <v>140</v>
      </c>
      <c r="M16" s="18">
        <v>2</v>
      </c>
      <c r="N16" s="18">
        <v>1</v>
      </c>
      <c r="O16" s="18">
        <v>60</v>
      </c>
      <c r="P16" s="18">
        <v>412.78</v>
      </c>
      <c r="Q16" s="19">
        <f t="shared" si="0"/>
        <v>1927.6825999999999</v>
      </c>
      <c r="R16" s="118">
        <f>R15/P15</f>
        <v>13.99</v>
      </c>
    </row>
    <row r="17" spans="2:18" ht="24" customHeight="1" x14ac:dyDescent="0.25">
      <c r="B17" s="14">
        <v>3</v>
      </c>
      <c r="C17" s="15" t="s">
        <v>104</v>
      </c>
      <c r="D17" s="575" t="s">
        <v>78</v>
      </c>
      <c r="E17" s="576"/>
      <c r="F17" s="16" t="s">
        <v>101</v>
      </c>
      <c r="G17" s="577" t="s">
        <v>102</v>
      </c>
      <c r="H17" s="578"/>
      <c r="I17" s="578"/>
      <c r="J17" s="17">
        <v>1</v>
      </c>
      <c r="K17" s="18" t="s">
        <v>109</v>
      </c>
      <c r="L17" s="18">
        <v>140</v>
      </c>
      <c r="M17" s="18">
        <v>2</v>
      </c>
      <c r="N17" s="18">
        <v>0.5</v>
      </c>
      <c r="O17" s="18">
        <v>60</v>
      </c>
      <c r="P17" s="18">
        <v>412.78</v>
      </c>
      <c r="Q17" s="19">
        <f t="shared" si="0"/>
        <v>961.77739999999994</v>
      </c>
    </row>
    <row r="18" spans="2:18" ht="26.25" customHeight="1" x14ac:dyDescent="0.25">
      <c r="B18" s="14">
        <v>4</v>
      </c>
      <c r="C18" s="15" t="s">
        <v>105</v>
      </c>
      <c r="D18" s="575" t="s">
        <v>79</v>
      </c>
      <c r="E18" s="576"/>
      <c r="F18" s="16" t="s">
        <v>101</v>
      </c>
      <c r="G18" s="577" t="s">
        <v>102</v>
      </c>
      <c r="H18" s="578"/>
      <c r="I18" s="578"/>
      <c r="J18" s="17">
        <v>1</v>
      </c>
      <c r="K18" s="18" t="s">
        <v>109</v>
      </c>
      <c r="L18" s="18">
        <v>140</v>
      </c>
      <c r="M18" s="18">
        <v>2</v>
      </c>
      <c r="N18" s="18">
        <v>0.5</v>
      </c>
      <c r="O18" s="18">
        <v>60</v>
      </c>
      <c r="P18" s="18">
        <v>412.78</v>
      </c>
      <c r="Q18" s="19">
        <f t="shared" si="0"/>
        <v>961.77739999999994</v>
      </c>
    </row>
    <row r="19" spans="2:18" ht="25.5" customHeight="1" x14ac:dyDescent="0.25">
      <c r="B19" s="14">
        <v>5</v>
      </c>
      <c r="C19" s="15" t="s">
        <v>106</v>
      </c>
      <c r="D19" s="575" t="s">
        <v>80</v>
      </c>
      <c r="E19" s="576"/>
      <c r="F19" s="16" t="s">
        <v>101</v>
      </c>
      <c r="G19" s="577" t="s">
        <v>102</v>
      </c>
      <c r="H19" s="578"/>
      <c r="I19" s="578"/>
      <c r="J19" s="17">
        <v>1</v>
      </c>
      <c r="K19" s="18" t="s">
        <v>109</v>
      </c>
      <c r="L19" s="18">
        <v>140</v>
      </c>
      <c r="M19" s="18">
        <v>2</v>
      </c>
      <c r="N19" s="18">
        <v>0.5</v>
      </c>
      <c r="O19" s="18">
        <v>60</v>
      </c>
      <c r="P19" s="18">
        <v>412.78</v>
      </c>
      <c r="Q19" s="19">
        <f t="shared" si="0"/>
        <v>961.77739999999994</v>
      </c>
    </row>
    <row r="20" spans="2:18" ht="24" customHeight="1" x14ac:dyDescent="0.25">
      <c r="B20" s="14">
        <v>6</v>
      </c>
      <c r="C20" s="15" t="s">
        <v>110</v>
      </c>
      <c r="D20" s="575" t="s">
        <v>81</v>
      </c>
      <c r="E20" s="576"/>
      <c r="F20" s="20" t="s">
        <v>63</v>
      </c>
      <c r="G20" s="577" t="s">
        <v>82</v>
      </c>
      <c r="H20" s="578"/>
      <c r="I20" s="578"/>
      <c r="J20" s="17">
        <v>1</v>
      </c>
      <c r="K20" s="18" t="s">
        <v>109</v>
      </c>
      <c r="L20" s="18">
        <v>140</v>
      </c>
      <c r="M20" s="18">
        <v>2</v>
      </c>
      <c r="N20" s="18">
        <v>1</v>
      </c>
      <c r="O20" s="18">
        <v>60</v>
      </c>
      <c r="P20" s="18">
        <v>269.83</v>
      </c>
      <c r="Q20" s="19">
        <f t="shared" si="0"/>
        <v>1260.1061</v>
      </c>
      <c r="R20" s="119">
        <f>Q20/P20</f>
        <v>4.67</v>
      </c>
    </row>
    <row r="21" spans="2:18" ht="25.5" customHeight="1" x14ac:dyDescent="0.25">
      <c r="B21" s="14">
        <v>7</v>
      </c>
      <c r="C21" s="15" t="s">
        <v>111</v>
      </c>
      <c r="D21" s="575" t="s">
        <v>83</v>
      </c>
      <c r="E21" s="576"/>
      <c r="F21" s="20" t="s">
        <v>63</v>
      </c>
      <c r="G21" s="577" t="s">
        <v>82</v>
      </c>
      <c r="H21" s="578"/>
      <c r="I21" s="578"/>
      <c r="J21" s="17">
        <v>1</v>
      </c>
      <c r="K21" s="18" t="s">
        <v>109</v>
      </c>
      <c r="L21" s="18">
        <v>140</v>
      </c>
      <c r="M21" s="18">
        <v>2</v>
      </c>
      <c r="N21" s="18">
        <v>1</v>
      </c>
      <c r="O21" s="18">
        <v>60</v>
      </c>
      <c r="P21" s="18">
        <v>592.51</v>
      </c>
      <c r="Q21" s="19">
        <f>ROUND((L21*M21*N21)/O21,2)*P21</f>
        <v>2767.0216999999998</v>
      </c>
      <c r="R21" s="119">
        <f>Q21/P21</f>
        <v>4.67</v>
      </c>
    </row>
    <row r="22" spans="2:18" ht="23.25" customHeight="1" x14ac:dyDescent="0.25">
      <c r="B22" s="14">
        <v>8</v>
      </c>
      <c r="C22" s="15" t="s">
        <v>107</v>
      </c>
      <c r="D22" s="575" t="s">
        <v>84</v>
      </c>
      <c r="E22" s="576"/>
      <c r="F22" s="20" t="s">
        <v>63</v>
      </c>
      <c r="G22" s="577" t="s">
        <v>82</v>
      </c>
      <c r="H22" s="578"/>
      <c r="I22" s="578"/>
      <c r="J22" s="17">
        <v>1</v>
      </c>
      <c r="K22" s="18" t="s">
        <v>109</v>
      </c>
      <c r="L22" s="18">
        <v>140</v>
      </c>
      <c r="M22" s="18">
        <v>2</v>
      </c>
      <c r="N22" s="18">
        <v>1</v>
      </c>
      <c r="O22" s="18">
        <v>60</v>
      </c>
      <c r="P22" s="18">
        <v>292.33999999999997</v>
      </c>
      <c r="Q22" s="19">
        <f t="shared" si="0"/>
        <v>1365.2277999999999</v>
      </c>
      <c r="R22" s="119">
        <f>Q22/P22</f>
        <v>4.67</v>
      </c>
    </row>
    <row r="23" spans="2:18" ht="13.5" customHeight="1" x14ac:dyDescent="0.25">
      <c r="B23" s="579" t="s">
        <v>108</v>
      </c>
      <c r="C23" s="580"/>
      <c r="D23" s="580"/>
      <c r="E23" s="580"/>
      <c r="F23" s="580"/>
      <c r="G23" s="580"/>
      <c r="H23" s="580"/>
      <c r="I23" s="580"/>
      <c r="J23" s="580"/>
      <c r="K23" s="580"/>
      <c r="L23" s="580"/>
      <c r="M23" s="580"/>
      <c r="N23" s="580"/>
      <c r="O23" s="580"/>
      <c r="P23" s="580"/>
      <c r="Q23" s="22">
        <f>SUM(Q15:Q22)</f>
        <v>11167.147800000001</v>
      </c>
    </row>
    <row r="24" spans="2:18" ht="13.5" customHeight="1" x14ac:dyDescent="0.25"/>
    <row r="25" spans="2:18" ht="13.5" customHeight="1" x14ac:dyDescent="0.25"/>
    <row r="26" spans="2:18" ht="13.5" customHeight="1" x14ac:dyDescent="0.25"/>
    <row r="27" spans="2:18" ht="13.5" customHeight="1" x14ac:dyDescent="0.25"/>
    <row r="28" spans="2:18" ht="13.5" customHeight="1" x14ac:dyDescent="0.25"/>
    <row r="29" spans="2:18" ht="13.5" customHeight="1" x14ac:dyDescent="0.25"/>
    <row r="30" spans="2:18" ht="13.5" customHeight="1" x14ac:dyDescent="0.25"/>
    <row r="31" spans="2:18" ht="13.5" customHeight="1" x14ac:dyDescent="0.25"/>
    <row r="32" spans="2:18" ht="13.5" customHeight="1" x14ac:dyDescent="0.25"/>
    <row r="33" ht="13.5" customHeight="1" x14ac:dyDescent="0.25"/>
    <row r="34" ht="13.5" customHeight="1" x14ac:dyDescent="0.25"/>
    <row r="35" ht="13.5" customHeight="1" x14ac:dyDescent="0.25"/>
    <row r="36" ht="13.5" customHeight="1" x14ac:dyDescent="0.25"/>
    <row r="37" ht="13.5" customHeight="1" x14ac:dyDescent="0.25"/>
    <row r="38" ht="13.5" customHeight="1" x14ac:dyDescent="0.25"/>
    <row r="39" ht="13.5" customHeight="1" x14ac:dyDescent="0.25"/>
    <row r="40" ht="13.5" customHeight="1" x14ac:dyDescent="0.25"/>
    <row r="41" ht="13.5" customHeight="1" x14ac:dyDescent="0.25"/>
    <row r="42" ht="13.5" customHeight="1" x14ac:dyDescent="0.25"/>
    <row r="43" ht="13.5" customHeight="1" x14ac:dyDescent="0.25"/>
    <row r="44" ht="13.5" customHeight="1" x14ac:dyDescent="0.25"/>
    <row r="45" ht="13.5" customHeight="1" x14ac:dyDescent="0.25"/>
    <row r="46" ht="13.5" customHeight="1" x14ac:dyDescent="0.25"/>
    <row r="47" ht="13.5" customHeight="1" x14ac:dyDescent="0.25"/>
    <row r="48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38">
    <mergeCell ref="P13:P14"/>
    <mergeCell ref="Q13:Q14"/>
    <mergeCell ref="D15:E15"/>
    <mergeCell ref="G15:I15"/>
    <mergeCell ref="D16:E16"/>
    <mergeCell ref="G16:I16"/>
    <mergeCell ref="M13:M14"/>
    <mergeCell ref="N13:N14"/>
    <mergeCell ref="O13:O14"/>
    <mergeCell ref="D17:E17"/>
    <mergeCell ref="G17:I17"/>
    <mergeCell ref="D18:E18"/>
    <mergeCell ref="B23:P23"/>
    <mergeCell ref="D22:E22"/>
    <mergeCell ref="G22:I22"/>
    <mergeCell ref="D19:E19"/>
    <mergeCell ref="G19:I19"/>
    <mergeCell ref="D20:E20"/>
    <mergeCell ref="G20:I20"/>
    <mergeCell ref="D21:E21"/>
    <mergeCell ref="G21:I21"/>
    <mergeCell ref="G18:I18"/>
    <mergeCell ref="N1:O1"/>
    <mergeCell ref="B12:Q12"/>
    <mergeCell ref="B13:B14"/>
    <mergeCell ref="C13:C14"/>
    <mergeCell ref="D13:E14"/>
    <mergeCell ref="F13:F14"/>
    <mergeCell ref="G13:I14"/>
    <mergeCell ref="J13:J14"/>
    <mergeCell ref="K13:K14"/>
    <mergeCell ref="L13:L14"/>
    <mergeCell ref="B10:Q10"/>
    <mergeCell ref="C11:E11"/>
    <mergeCell ref="A2:Q2"/>
    <mergeCell ref="A3:Q3"/>
    <mergeCell ref="A4:Q4"/>
    <mergeCell ref="A5:Q5"/>
  </mergeCells>
  <pageMargins left="0.51181102362204722" right="0.51181102362204722" top="0.78740157480314965" bottom="0.78740157480314965" header="0" footer="0"/>
  <pageSetup paperSize="9" scale="44" orientation="portrait" r:id="rId1"/>
  <headerFooter>
    <oddFooter>&amp;CKaik Eduardo Silva Vilar
Engenheiro Civil
CREA: 241510947-9</oddFooter>
  </headerFooter>
  <colBreaks count="1" manualBreakCount="1">
    <brk id="17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4B9DF-8BBF-4543-A727-C7B53A7B2E96}">
  <sheetPr>
    <tabColor theme="7"/>
  </sheetPr>
  <dimension ref="A1:Q28"/>
  <sheetViews>
    <sheetView showGridLines="0" showZeros="0" view="pageBreakPreview" zoomScale="85" zoomScaleNormal="100" zoomScaleSheetLayoutView="85" workbookViewId="0">
      <selection activeCell="B27" sqref="B27:M28"/>
    </sheetView>
  </sheetViews>
  <sheetFormatPr defaultColWidth="10" defaultRowHeight="12.75" x14ac:dyDescent="0.2"/>
  <cols>
    <col min="1" max="1" width="0.625" style="95" customWidth="1"/>
    <col min="2" max="2" width="13.25" style="95" customWidth="1"/>
    <col min="3" max="3" width="0.625" style="95" customWidth="1"/>
    <col min="4" max="4" width="15" style="95" customWidth="1"/>
    <col min="5" max="5" width="49.5" style="95" customWidth="1"/>
    <col min="6" max="6" width="9.375" style="96" bestFit="1" customWidth="1"/>
    <col min="7" max="7" width="6.75" style="96" customWidth="1"/>
    <col min="8" max="8" width="0.625" style="96" customWidth="1"/>
    <col min="9" max="9" width="6.75" style="96" customWidth="1"/>
    <col min="10" max="10" width="12" style="96" customWidth="1"/>
    <col min="11" max="11" width="0.625" style="96" customWidth="1"/>
    <col min="12" max="12" width="12" style="96" customWidth="1"/>
    <col min="13" max="13" width="26.5" style="96" customWidth="1"/>
    <col min="14" max="14" width="0.625" style="95" customWidth="1"/>
    <col min="15" max="15" width="12.5" style="95" hidden="1" customWidth="1"/>
    <col min="16" max="16" width="0" style="95" hidden="1" customWidth="1"/>
    <col min="17" max="44" width="10" style="95"/>
    <col min="45" max="45" width="0.625" style="95" customWidth="1"/>
    <col min="46" max="46" width="13.25" style="95" customWidth="1"/>
    <col min="47" max="47" width="0.625" style="95" customWidth="1"/>
    <col min="48" max="48" width="49.125" style="95" customWidth="1"/>
    <col min="49" max="49" width="0.625" style="95" customWidth="1"/>
    <col min="50" max="50" width="8" style="95" customWidth="1"/>
    <col min="51" max="51" width="5.25" style="95" customWidth="1"/>
    <col min="52" max="52" width="0.625" style="95" customWidth="1"/>
    <col min="53" max="53" width="6.25" style="95" customWidth="1"/>
    <col min="54" max="54" width="5.75" style="95" customWidth="1"/>
    <col min="55" max="55" width="0.625" style="95" customWidth="1"/>
    <col min="56" max="56" width="6.875" style="95" customWidth="1"/>
    <col min="57" max="57" width="9.25" style="95" customWidth="1"/>
    <col min="58" max="58" width="0.625" style="95" customWidth="1"/>
    <col min="59" max="300" width="10" style="95"/>
    <col min="301" max="301" width="0.625" style="95" customWidth="1"/>
    <col min="302" max="302" width="13.25" style="95" customWidth="1"/>
    <col min="303" max="303" width="0.625" style="95" customWidth="1"/>
    <col min="304" max="304" width="49.125" style="95" customWidth="1"/>
    <col min="305" max="305" width="0.625" style="95" customWidth="1"/>
    <col min="306" max="306" width="8" style="95" customWidth="1"/>
    <col min="307" max="307" width="5.25" style="95" customWidth="1"/>
    <col min="308" max="308" width="0.625" style="95" customWidth="1"/>
    <col min="309" max="309" width="6.25" style="95" customWidth="1"/>
    <col min="310" max="310" width="5.75" style="95" customWidth="1"/>
    <col min="311" max="311" width="0.625" style="95" customWidth="1"/>
    <col min="312" max="312" width="6.875" style="95" customWidth="1"/>
    <col min="313" max="313" width="9.25" style="95" customWidth="1"/>
    <col min="314" max="314" width="0.625" style="95" customWidth="1"/>
    <col min="315" max="556" width="10" style="95"/>
    <col min="557" max="557" width="0.625" style="95" customWidth="1"/>
    <col min="558" max="558" width="13.25" style="95" customWidth="1"/>
    <col min="559" max="559" width="0.625" style="95" customWidth="1"/>
    <col min="560" max="560" width="49.125" style="95" customWidth="1"/>
    <col min="561" max="561" width="0.625" style="95" customWidth="1"/>
    <col min="562" max="562" width="8" style="95" customWidth="1"/>
    <col min="563" max="563" width="5.25" style="95" customWidth="1"/>
    <col min="564" max="564" width="0.625" style="95" customWidth="1"/>
    <col min="565" max="565" width="6.25" style="95" customWidth="1"/>
    <col min="566" max="566" width="5.75" style="95" customWidth="1"/>
    <col min="567" max="567" width="0.625" style="95" customWidth="1"/>
    <col min="568" max="568" width="6.875" style="95" customWidth="1"/>
    <col min="569" max="569" width="9.25" style="95" customWidth="1"/>
    <col min="570" max="570" width="0.625" style="95" customWidth="1"/>
    <col min="571" max="812" width="10" style="95"/>
    <col min="813" max="813" width="0.625" style="95" customWidth="1"/>
    <col min="814" max="814" width="13.25" style="95" customWidth="1"/>
    <col min="815" max="815" width="0.625" style="95" customWidth="1"/>
    <col min="816" max="816" width="49.125" style="95" customWidth="1"/>
    <col min="817" max="817" width="0.625" style="95" customWidth="1"/>
    <col min="818" max="818" width="8" style="95" customWidth="1"/>
    <col min="819" max="819" width="5.25" style="95" customWidth="1"/>
    <col min="820" max="820" width="0.625" style="95" customWidth="1"/>
    <col min="821" max="821" width="6.25" style="95" customWidth="1"/>
    <col min="822" max="822" width="5.75" style="95" customWidth="1"/>
    <col min="823" max="823" width="0.625" style="95" customWidth="1"/>
    <col min="824" max="824" width="6.875" style="95" customWidth="1"/>
    <col min="825" max="825" width="9.25" style="95" customWidth="1"/>
    <col min="826" max="826" width="0.625" style="95" customWidth="1"/>
    <col min="827" max="1068" width="10" style="95"/>
    <col min="1069" max="1069" width="0.625" style="95" customWidth="1"/>
    <col min="1070" max="1070" width="13.25" style="95" customWidth="1"/>
    <col min="1071" max="1071" width="0.625" style="95" customWidth="1"/>
    <col min="1072" max="1072" width="49.125" style="95" customWidth="1"/>
    <col min="1073" max="1073" width="0.625" style="95" customWidth="1"/>
    <col min="1074" max="1074" width="8" style="95" customWidth="1"/>
    <col min="1075" max="1075" width="5.25" style="95" customWidth="1"/>
    <col min="1076" max="1076" width="0.625" style="95" customWidth="1"/>
    <col min="1077" max="1077" width="6.25" style="95" customWidth="1"/>
    <col min="1078" max="1078" width="5.75" style="95" customWidth="1"/>
    <col min="1079" max="1079" width="0.625" style="95" customWidth="1"/>
    <col min="1080" max="1080" width="6.875" style="95" customWidth="1"/>
    <col min="1081" max="1081" width="9.25" style="95" customWidth="1"/>
    <col min="1082" max="1082" width="0.625" style="95" customWidth="1"/>
    <col min="1083" max="1324" width="10" style="95"/>
    <col min="1325" max="1325" width="0.625" style="95" customWidth="1"/>
    <col min="1326" max="1326" width="13.25" style="95" customWidth="1"/>
    <col min="1327" max="1327" width="0.625" style="95" customWidth="1"/>
    <col min="1328" max="1328" width="49.125" style="95" customWidth="1"/>
    <col min="1329" max="1329" width="0.625" style="95" customWidth="1"/>
    <col min="1330" max="1330" width="8" style="95" customWidth="1"/>
    <col min="1331" max="1331" width="5.25" style="95" customWidth="1"/>
    <col min="1332" max="1332" width="0.625" style="95" customWidth="1"/>
    <col min="1333" max="1333" width="6.25" style="95" customWidth="1"/>
    <col min="1334" max="1334" width="5.75" style="95" customWidth="1"/>
    <col min="1335" max="1335" width="0.625" style="95" customWidth="1"/>
    <col min="1336" max="1336" width="6.875" style="95" customWidth="1"/>
    <col min="1337" max="1337" width="9.25" style="95" customWidth="1"/>
    <col min="1338" max="1338" width="0.625" style="95" customWidth="1"/>
    <col min="1339" max="1580" width="10" style="95"/>
    <col min="1581" max="1581" width="0.625" style="95" customWidth="1"/>
    <col min="1582" max="1582" width="13.25" style="95" customWidth="1"/>
    <col min="1583" max="1583" width="0.625" style="95" customWidth="1"/>
    <col min="1584" max="1584" width="49.125" style="95" customWidth="1"/>
    <col min="1585" max="1585" width="0.625" style="95" customWidth="1"/>
    <col min="1586" max="1586" width="8" style="95" customWidth="1"/>
    <col min="1587" max="1587" width="5.25" style="95" customWidth="1"/>
    <col min="1588" max="1588" width="0.625" style="95" customWidth="1"/>
    <col min="1589" max="1589" width="6.25" style="95" customWidth="1"/>
    <col min="1590" max="1590" width="5.75" style="95" customWidth="1"/>
    <col min="1591" max="1591" width="0.625" style="95" customWidth="1"/>
    <col min="1592" max="1592" width="6.875" style="95" customWidth="1"/>
    <col min="1593" max="1593" width="9.25" style="95" customWidth="1"/>
    <col min="1594" max="1594" width="0.625" style="95" customWidth="1"/>
    <col min="1595" max="1836" width="10" style="95"/>
    <col min="1837" max="1837" width="0.625" style="95" customWidth="1"/>
    <col min="1838" max="1838" width="13.25" style="95" customWidth="1"/>
    <col min="1839" max="1839" width="0.625" style="95" customWidth="1"/>
    <col min="1840" max="1840" width="49.125" style="95" customWidth="1"/>
    <col min="1841" max="1841" width="0.625" style="95" customWidth="1"/>
    <col min="1842" max="1842" width="8" style="95" customWidth="1"/>
    <col min="1843" max="1843" width="5.25" style="95" customWidth="1"/>
    <col min="1844" max="1844" width="0.625" style="95" customWidth="1"/>
    <col min="1845" max="1845" width="6.25" style="95" customWidth="1"/>
    <col min="1846" max="1846" width="5.75" style="95" customWidth="1"/>
    <col min="1847" max="1847" width="0.625" style="95" customWidth="1"/>
    <col min="1848" max="1848" width="6.875" style="95" customWidth="1"/>
    <col min="1849" max="1849" width="9.25" style="95" customWidth="1"/>
    <col min="1850" max="1850" width="0.625" style="95" customWidth="1"/>
    <col min="1851" max="2092" width="10" style="95"/>
    <col min="2093" max="2093" width="0.625" style="95" customWidth="1"/>
    <col min="2094" max="2094" width="13.25" style="95" customWidth="1"/>
    <col min="2095" max="2095" width="0.625" style="95" customWidth="1"/>
    <col min="2096" max="2096" width="49.125" style="95" customWidth="1"/>
    <col min="2097" max="2097" width="0.625" style="95" customWidth="1"/>
    <col min="2098" max="2098" width="8" style="95" customWidth="1"/>
    <col min="2099" max="2099" width="5.25" style="95" customWidth="1"/>
    <col min="2100" max="2100" width="0.625" style="95" customWidth="1"/>
    <col min="2101" max="2101" width="6.25" style="95" customWidth="1"/>
    <col min="2102" max="2102" width="5.75" style="95" customWidth="1"/>
    <col min="2103" max="2103" width="0.625" style="95" customWidth="1"/>
    <col min="2104" max="2104" width="6.875" style="95" customWidth="1"/>
    <col min="2105" max="2105" width="9.25" style="95" customWidth="1"/>
    <col min="2106" max="2106" width="0.625" style="95" customWidth="1"/>
    <col min="2107" max="2348" width="10" style="95"/>
    <col min="2349" max="2349" width="0.625" style="95" customWidth="1"/>
    <col min="2350" max="2350" width="13.25" style="95" customWidth="1"/>
    <col min="2351" max="2351" width="0.625" style="95" customWidth="1"/>
    <col min="2352" max="2352" width="49.125" style="95" customWidth="1"/>
    <col min="2353" max="2353" width="0.625" style="95" customWidth="1"/>
    <col min="2354" max="2354" width="8" style="95" customWidth="1"/>
    <col min="2355" max="2355" width="5.25" style="95" customWidth="1"/>
    <col min="2356" max="2356" width="0.625" style="95" customWidth="1"/>
    <col min="2357" max="2357" width="6.25" style="95" customWidth="1"/>
    <col min="2358" max="2358" width="5.75" style="95" customWidth="1"/>
    <col min="2359" max="2359" width="0.625" style="95" customWidth="1"/>
    <col min="2360" max="2360" width="6.875" style="95" customWidth="1"/>
    <col min="2361" max="2361" width="9.25" style="95" customWidth="1"/>
    <col min="2362" max="2362" width="0.625" style="95" customWidth="1"/>
    <col min="2363" max="2604" width="10" style="95"/>
    <col min="2605" max="2605" width="0.625" style="95" customWidth="1"/>
    <col min="2606" max="2606" width="13.25" style="95" customWidth="1"/>
    <col min="2607" max="2607" width="0.625" style="95" customWidth="1"/>
    <col min="2608" max="2608" width="49.125" style="95" customWidth="1"/>
    <col min="2609" max="2609" width="0.625" style="95" customWidth="1"/>
    <col min="2610" max="2610" width="8" style="95" customWidth="1"/>
    <col min="2611" max="2611" width="5.25" style="95" customWidth="1"/>
    <col min="2612" max="2612" width="0.625" style="95" customWidth="1"/>
    <col min="2613" max="2613" width="6.25" style="95" customWidth="1"/>
    <col min="2614" max="2614" width="5.75" style="95" customWidth="1"/>
    <col min="2615" max="2615" width="0.625" style="95" customWidth="1"/>
    <col min="2616" max="2616" width="6.875" style="95" customWidth="1"/>
    <col min="2617" max="2617" width="9.25" style="95" customWidth="1"/>
    <col min="2618" max="2618" width="0.625" style="95" customWidth="1"/>
    <col min="2619" max="2860" width="10" style="95"/>
    <col min="2861" max="2861" width="0.625" style="95" customWidth="1"/>
    <col min="2862" max="2862" width="13.25" style="95" customWidth="1"/>
    <col min="2863" max="2863" width="0.625" style="95" customWidth="1"/>
    <col min="2864" max="2864" width="49.125" style="95" customWidth="1"/>
    <col min="2865" max="2865" width="0.625" style="95" customWidth="1"/>
    <col min="2866" max="2866" width="8" style="95" customWidth="1"/>
    <col min="2867" max="2867" width="5.25" style="95" customWidth="1"/>
    <col min="2868" max="2868" width="0.625" style="95" customWidth="1"/>
    <col min="2869" max="2869" width="6.25" style="95" customWidth="1"/>
    <col min="2870" max="2870" width="5.75" style="95" customWidth="1"/>
    <col min="2871" max="2871" width="0.625" style="95" customWidth="1"/>
    <col min="2872" max="2872" width="6.875" style="95" customWidth="1"/>
    <col min="2873" max="2873" width="9.25" style="95" customWidth="1"/>
    <col min="2874" max="2874" width="0.625" style="95" customWidth="1"/>
    <col min="2875" max="3116" width="10" style="95"/>
    <col min="3117" max="3117" width="0.625" style="95" customWidth="1"/>
    <col min="3118" max="3118" width="13.25" style="95" customWidth="1"/>
    <col min="3119" max="3119" width="0.625" style="95" customWidth="1"/>
    <col min="3120" max="3120" width="49.125" style="95" customWidth="1"/>
    <col min="3121" max="3121" width="0.625" style="95" customWidth="1"/>
    <col min="3122" max="3122" width="8" style="95" customWidth="1"/>
    <col min="3123" max="3123" width="5.25" style="95" customWidth="1"/>
    <col min="3124" max="3124" width="0.625" style="95" customWidth="1"/>
    <col min="3125" max="3125" width="6.25" style="95" customWidth="1"/>
    <col min="3126" max="3126" width="5.75" style="95" customWidth="1"/>
    <col min="3127" max="3127" width="0.625" style="95" customWidth="1"/>
    <col min="3128" max="3128" width="6.875" style="95" customWidth="1"/>
    <col min="3129" max="3129" width="9.25" style="95" customWidth="1"/>
    <col min="3130" max="3130" width="0.625" style="95" customWidth="1"/>
    <col min="3131" max="3372" width="10" style="95"/>
    <col min="3373" max="3373" width="0.625" style="95" customWidth="1"/>
    <col min="3374" max="3374" width="13.25" style="95" customWidth="1"/>
    <col min="3375" max="3375" width="0.625" style="95" customWidth="1"/>
    <col min="3376" max="3376" width="49.125" style="95" customWidth="1"/>
    <col min="3377" max="3377" width="0.625" style="95" customWidth="1"/>
    <col min="3378" max="3378" width="8" style="95" customWidth="1"/>
    <col min="3379" max="3379" width="5.25" style="95" customWidth="1"/>
    <col min="3380" max="3380" width="0.625" style="95" customWidth="1"/>
    <col min="3381" max="3381" width="6.25" style="95" customWidth="1"/>
    <col min="3382" max="3382" width="5.75" style="95" customWidth="1"/>
    <col min="3383" max="3383" width="0.625" style="95" customWidth="1"/>
    <col min="3384" max="3384" width="6.875" style="95" customWidth="1"/>
    <col min="3385" max="3385" width="9.25" style="95" customWidth="1"/>
    <col min="3386" max="3386" width="0.625" style="95" customWidth="1"/>
    <col min="3387" max="3628" width="10" style="95"/>
    <col min="3629" max="3629" width="0.625" style="95" customWidth="1"/>
    <col min="3630" max="3630" width="13.25" style="95" customWidth="1"/>
    <col min="3631" max="3631" width="0.625" style="95" customWidth="1"/>
    <col min="3632" max="3632" width="49.125" style="95" customWidth="1"/>
    <col min="3633" max="3633" width="0.625" style="95" customWidth="1"/>
    <col min="3634" max="3634" width="8" style="95" customWidth="1"/>
    <col min="3635" max="3635" width="5.25" style="95" customWidth="1"/>
    <col min="3636" max="3636" width="0.625" style="95" customWidth="1"/>
    <col min="3637" max="3637" width="6.25" style="95" customWidth="1"/>
    <col min="3638" max="3638" width="5.75" style="95" customWidth="1"/>
    <col min="3639" max="3639" width="0.625" style="95" customWidth="1"/>
    <col min="3640" max="3640" width="6.875" style="95" customWidth="1"/>
    <col min="3641" max="3641" width="9.25" style="95" customWidth="1"/>
    <col min="3642" max="3642" width="0.625" style="95" customWidth="1"/>
    <col min="3643" max="3884" width="10" style="95"/>
    <col min="3885" max="3885" width="0.625" style="95" customWidth="1"/>
    <col min="3886" max="3886" width="13.25" style="95" customWidth="1"/>
    <col min="3887" max="3887" width="0.625" style="95" customWidth="1"/>
    <col min="3888" max="3888" width="49.125" style="95" customWidth="1"/>
    <col min="3889" max="3889" width="0.625" style="95" customWidth="1"/>
    <col min="3890" max="3890" width="8" style="95" customWidth="1"/>
    <col min="3891" max="3891" width="5.25" style="95" customWidth="1"/>
    <col min="3892" max="3892" width="0.625" style="95" customWidth="1"/>
    <col min="3893" max="3893" width="6.25" style="95" customWidth="1"/>
    <col min="3894" max="3894" width="5.75" style="95" customWidth="1"/>
    <col min="3895" max="3895" width="0.625" style="95" customWidth="1"/>
    <col min="3896" max="3896" width="6.875" style="95" customWidth="1"/>
    <col min="3897" max="3897" width="9.25" style="95" customWidth="1"/>
    <col min="3898" max="3898" width="0.625" style="95" customWidth="1"/>
    <col min="3899" max="4140" width="10" style="95"/>
    <col min="4141" max="4141" width="0.625" style="95" customWidth="1"/>
    <col min="4142" max="4142" width="13.25" style="95" customWidth="1"/>
    <col min="4143" max="4143" width="0.625" style="95" customWidth="1"/>
    <col min="4144" max="4144" width="49.125" style="95" customWidth="1"/>
    <col min="4145" max="4145" width="0.625" style="95" customWidth="1"/>
    <col min="4146" max="4146" width="8" style="95" customWidth="1"/>
    <col min="4147" max="4147" width="5.25" style="95" customWidth="1"/>
    <col min="4148" max="4148" width="0.625" style="95" customWidth="1"/>
    <col min="4149" max="4149" width="6.25" style="95" customWidth="1"/>
    <col min="4150" max="4150" width="5.75" style="95" customWidth="1"/>
    <col min="4151" max="4151" width="0.625" style="95" customWidth="1"/>
    <col min="4152" max="4152" width="6.875" style="95" customWidth="1"/>
    <col min="4153" max="4153" width="9.25" style="95" customWidth="1"/>
    <col min="4154" max="4154" width="0.625" style="95" customWidth="1"/>
    <col min="4155" max="4396" width="10" style="95"/>
    <col min="4397" max="4397" width="0.625" style="95" customWidth="1"/>
    <col min="4398" max="4398" width="13.25" style="95" customWidth="1"/>
    <col min="4399" max="4399" width="0.625" style="95" customWidth="1"/>
    <col min="4400" max="4400" width="49.125" style="95" customWidth="1"/>
    <col min="4401" max="4401" width="0.625" style="95" customWidth="1"/>
    <col min="4402" max="4402" width="8" style="95" customWidth="1"/>
    <col min="4403" max="4403" width="5.25" style="95" customWidth="1"/>
    <col min="4404" max="4404" width="0.625" style="95" customWidth="1"/>
    <col min="4405" max="4405" width="6.25" style="95" customWidth="1"/>
    <col min="4406" max="4406" width="5.75" style="95" customWidth="1"/>
    <col min="4407" max="4407" width="0.625" style="95" customWidth="1"/>
    <col min="4408" max="4408" width="6.875" style="95" customWidth="1"/>
    <col min="4409" max="4409" width="9.25" style="95" customWidth="1"/>
    <col min="4410" max="4410" width="0.625" style="95" customWidth="1"/>
    <col min="4411" max="4652" width="10" style="95"/>
    <col min="4653" max="4653" width="0.625" style="95" customWidth="1"/>
    <col min="4654" max="4654" width="13.25" style="95" customWidth="1"/>
    <col min="4655" max="4655" width="0.625" style="95" customWidth="1"/>
    <col min="4656" max="4656" width="49.125" style="95" customWidth="1"/>
    <col min="4657" max="4657" width="0.625" style="95" customWidth="1"/>
    <col min="4658" max="4658" width="8" style="95" customWidth="1"/>
    <col min="4659" max="4659" width="5.25" style="95" customWidth="1"/>
    <col min="4660" max="4660" width="0.625" style="95" customWidth="1"/>
    <col min="4661" max="4661" width="6.25" style="95" customWidth="1"/>
    <col min="4662" max="4662" width="5.75" style="95" customWidth="1"/>
    <col min="4663" max="4663" width="0.625" style="95" customWidth="1"/>
    <col min="4664" max="4664" width="6.875" style="95" customWidth="1"/>
    <col min="4665" max="4665" width="9.25" style="95" customWidth="1"/>
    <col min="4666" max="4666" width="0.625" style="95" customWidth="1"/>
    <col min="4667" max="4908" width="10" style="95"/>
    <col min="4909" max="4909" width="0.625" style="95" customWidth="1"/>
    <col min="4910" max="4910" width="13.25" style="95" customWidth="1"/>
    <col min="4911" max="4911" width="0.625" style="95" customWidth="1"/>
    <col min="4912" max="4912" width="49.125" style="95" customWidth="1"/>
    <col min="4913" max="4913" width="0.625" style="95" customWidth="1"/>
    <col min="4914" max="4914" width="8" style="95" customWidth="1"/>
    <col min="4915" max="4915" width="5.25" style="95" customWidth="1"/>
    <col min="4916" max="4916" width="0.625" style="95" customWidth="1"/>
    <col min="4917" max="4917" width="6.25" style="95" customWidth="1"/>
    <col min="4918" max="4918" width="5.75" style="95" customWidth="1"/>
    <col min="4919" max="4919" width="0.625" style="95" customWidth="1"/>
    <col min="4920" max="4920" width="6.875" style="95" customWidth="1"/>
    <col min="4921" max="4921" width="9.25" style="95" customWidth="1"/>
    <col min="4922" max="4922" width="0.625" style="95" customWidth="1"/>
    <col min="4923" max="5164" width="10" style="95"/>
    <col min="5165" max="5165" width="0.625" style="95" customWidth="1"/>
    <col min="5166" max="5166" width="13.25" style="95" customWidth="1"/>
    <col min="5167" max="5167" width="0.625" style="95" customWidth="1"/>
    <col min="5168" max="5168" width="49.125" style="95" customWidth="1"/>
    <col min="5169" max="5169" width="0.625" style="95" customWidth="1"/>
    <col min="5170" max="5170" width="8" style="95" customWidth="1"/>
    <col min="5171" max="5171" width="5.25" style="95" customWidth="1"/>
    <col min="5172" max="5172" width="0.625" style="95" customWidth="1"/>
    <col min="5173" max="5173" width="6.25" style="95" customWidth="1"/>
    <col min="5174" max="5174" width="5.75" style="95" customWidth="1"/>
    <col min="5175" max="5175" width="0.625" style="95" customWidth="1"/>
    <col min="5176" max="5176" width="6.875" style="95" customWidth="1"/>
    <col min="5177" max="5177" width="9.25" style="95" customWidth="1"/>
    <col min="5178" max="5178" width="0.625" style="95" customWidth="1"/>
    <col min="5179" max="5420" width="10" style="95"/>
    <col min="5421" max="5421" width="0.625" style="95" customWidth="1"/>
    <col min="5422" max="5422" width="13.25" style="95" customWidth="1"/>
    <col min="5423" max="5423" width="0.625" style="95" customWidth="1"/>
    <col min="5424" max="5424" width="49.125" style="95" customWidth="1"/>
    <col min="5425" max="5425" width="0.625" style="95" customWidth="1"/>
    <col min="5426" max="5426" width="8" style="95" customWidth="1"/>
    <col min="5427" max="5427" width="5.25" style="95" customWidth="1"/>
    <col min="5428" max="5428" width="0.625" style="95" customWidth="1"/>
    <col min="5429" max="5429" width="6.25" style="95" customWidth="1"/>
    <col min="5430" max="5430" width="5.75" style="95" customWidth="1"/>
    <col min="5431" max="5431" width="0.625" style="95" customWidth="1"/>
    <col min="5432" max="5432" width="6.875" style="95" customWidth="1"/>
    <col min="5433" max="5433" width="9.25" style="95" customWidth="1"/>
    <col min="5434" max="5434" width="0.625" style="95" customWidth="1"/>
    <col min="5435" max="5676" width="10" style="95"/>
    <col min="5677" max="5677" width="0.625" style="95" customWidth="1"/>
    <col min="5678" max="5678" width="13.25" style="95" customWidth="1"/>
    <col min="5679" max="5679" width="0.625" style="95" customWidth="1"/>
    <col min="5680" max="5680" width="49.125" style="95" customWidth="1"/>
    <col min="5681" max="5681" width="0.625" style="95" customWidth="1"/>
    <col min="5682" max="5682" width="8" style="95" customWidth="1"/>
    <col min="5683" max="5683" width="5.25" style="95" customWidth="1"/>
    <col min="5684" max="5684" width="0.625" style="95" customWidth="1"/>
    <col min="5685" max="5685" width="6.25" style="95" customWidth="1"/>
    <col min="5686" max="5686" width="5.75" style="95" customWidth="1"/>
    <col min="5687" max="5687" width="0.625" style="95" customWidth="1"/>
    <col min="5688" max="5688" width="6.875" style="95" customWidth="1"/>
    <col min="5689" max="5689" width="9.25" style="95" customWidth="1"/>
    <col min="5690" max="5690" width="0.625" style="95" customWidth="1"/>
    <col min="5691" max="5932" width="10" style="95"/>
    <col min="5933" max="5933" width="0.625" style="95" customWidth="1"/>
    <col min="5934" max="5934" width="13.25" style="95" customWidth="1"/>
    <col min="5935" max="5935" width="0.625" style="95" customWidth="1"/>
    <col min="5936" max="5936" width="49.125" style="95" customWidth="1"/>
    <col min="5937" max="5937" width="0.625" style="95" customWidth="1"/>
    <col min="5938" max="5938" width="8" style="95" customWidth="1"/>
    <col min="5939" max="5939" width="5.25" style="95" customWidth="1"/>
    <col min="5940" max="5940" width="0.625" style="95" customWidth="1"/>
    <col min="5941" max="5941" width="6.25" style="95" customWidth="1"/>
    <col min="5942" max="5942" width="5.75" style="95" customWidth="1"/>
    <col min="5943" max="5943" width="0.625" style="95" customWidth="1"/>
    <col min="5944" max="5944" width="6.875" style="95" customWidth="1"/>
    <col min="5945" max="5945" width="9.25" style="95" customWidth="1"/>
    <col min="5946" max="5946" width="0.625" style="95" customWidth="1"/>
    <col min="5947" max="6188" width="10" style="95"/>
    <col min="6189" max="6189" width="0.625" style="95" customWidth="1"/>
    <col min="6190" max="6190" width="13.25" style="95" customWidth="1"/>
    <col min="6191" max="6191" width="0.625" style="95" customWidth="1"/>
    <col min="6192" max="6192" width="49.125" style="95" customWidth="1"/>
    <col min="6193" max="6193" width="0.625" style="95" customWidth="1"/>
    <col min="6194" max="6194" width="8" style="95" customWidth="1"/>
    <col min="6195" max="6195" width="5.25" style="95" customWidth="1"/>
    <col min="6196" max="6196" width="0.625" style="95" customWidth="1"/>
    <col min="6197" max="6197" width="6.25" style="95" customWidth="1"/>
    <col min="6198" max="6198" width="5.75" style="95" customWidth="1"/>
    <col min="6199" max="6199" width="0.625" style="95" customWidth="1"/>
    <col min="6200" max="6200" width="6.875" style="95" customWidth="1"/>
    <col min="6201" max="6201" width="9.25" style="95" customWidth="1"/>
    <col min="6202" max="6202" width="0.625" style="95" customWidth="1"/>
    <col min="6203" max="6444" width="10" style="95"/>
    <col min="6445" max="6445" width="0.625" style="95" customWidth="1"/>
    <col min="6446" max="6446" width="13.25" style="95" customWidth="1"/>
    <col min="6447" max="6447" width="0.625" style="95" customWidth="1"/>
    <col min="6448" max="6448" width="49.125" style="95" customWidth="1"/>
    <col min="6449" max="6449" width="0.625" style="95" customWidth="1"/>
    <col min="6450" max="6450" width="8" style="95" customWidth="1"/>
    <col min="6451" max="6451" width="5.25" style="95" customWidth="1"/>
    <col min="6452" max="6452" width="0.625" style="95" customWidth="1"/>
    <col min="6453" max="6453" width="6.25" style="95" customWidth="1"/>
    <col min="6454" max="6454" width="5.75" style="95" customWidth="1"/>
    <col min="6455" max="6455" width="0.625" style="95" customWidth="1"/>
    <col min="6456" max="6456" width="6.875" style="95" customWidth="1"/>
    <col min="6457" max="6457" width="9.25" style="95" customWidth="1"/>
    <col min="6458" max="6458" width="0.625" style="95" customWidth="1"/>
    <col min="6459" max="6700" width="10" style="95"/>
    <col min="6701" max="6701" width="0.625" style="95" customWidth="1"/>
    <col min="6702" max="6702" width="13.25" style="95" customWidth="1"/>
    <col min="6703" max="6703" width="0.625" style="95" customWidth="1"/>
    <col min="6704" max="6704" width="49.125" style="95" customWidth="1"/>
    <col min="6705" max="6705" width="0.625" style="95" customWidth="1"/>
    <col min="6706" max="6706" width="8" style="95" customWidth="1"/>
    <col min="6707" max="6707" width="5.25" style="95" customWidth="1"/>
    <col min="6708" max="6708" width="0.625" style="95" customWidth="1"/>
    <col min="6709" max="6709" width="6.25" style="95" customWidth="1"/>
    <col min="6710" max="6710" width="5.75" style="95" customWidth="1"/>
    <col min="6711" max="6711" width="0.625" style="95" customWidth="1"/>
    <col min="6712" max="6712" width="6.875" style="95" customWidth="1"/>
    <col min="6713" max="6713" width="9.25" style="95" customWidth="1"/>
    <col min="6714" max="6714" width="0.625" style="95" customWidth="1"/>
    <col min="6715" max="6956" width="10" style="95"/>
    <col min="6957" max="6957" width="0.625" style="95" customWidth="1"/>
    <col min="6958" max="6958" width="13.25" style="95" customWidth="1"/>
    <col min="6959" max="6959" width="0.625" style="95" customWidth="1"/>
    <col min="6960" max="6960" width="49.125" style="95" customWidth="1"/>
    <col min="6961" max="6961" width="0.625" style="95" customWidth="1"/>
    <col min="6962" max="6962" width="8" style="95" customWidth="1"/>
    <col min="6963" max="6963" width="5.25" style="95" customWidth="1"/>
    <col min="6964" max="6964" width="0.625" style="95" customWidth="1"/>
    <col min="6965" max="6965" width="6.25" style="95" customWidth="1"/>
    <col min="6966" max="6966" width="5.75" style="95" customWidth="1"/>
    <col min="6967" max="6967" width="0.625" style="95" customWidth="1"/>
    <col min="6968" max="6968" width="6.875" style="95" customWidth="1"/>
    <col min="6969" max="6969" width="9.25" style="95" customWidth="1"/>
    <col min="6970" max="6970" width="0.625" style="95" customWidth="1"/>
    <col min="6971" max="7212" width="10" style="95"/>
    <col min="7213" max="7213" width="0.625" style="95" customWidth="1"/>
    <col min="7214" max="7214" width="13.25" style="95" customWidth="1"/>
    <col min="7215" max="7215" width="0.625" style="95" customWidth="1"/>
    <col min="7216" max="7216" width="49.125" style="95" customWidth="1"/>
    <col min="7217" max="7217" width="0.625" style="95" customWidth="1"/>
    <col min="7218" max="7218" width="8" style="95" customWidth="1"/>
    <col min="7219" max="7219" width="5.25" style="95" customWidth="1"/>
    <col min="7220" max="7220" width="0.625" style="95" customWidth="1"/>
    <col min="7221" max="7221" width="6.25" style="95" customWidth="1"/>
    <col min="7222" max="7222" width="5.75" style="95" customWidth="1"/>
    <col min="7223" max="7223" width="0.625" style="95" customWidth="1"/>
    <col min="7224" max="7224" width="6.875" style="95" customWidth="1"/>
    <col min="7225" max="7225" width="9.25" style="95" customWidth="1"/>
    <col min="7226" max="7226" width="0.625" style="95" customWidth="1"/>
    <col min="7227" max="7468" width="10" style="95"/>
    <col min="7469" max="7469" width="0.625" style="95" customWidth="1"/>
    <col min="7470" max="7470" width="13.25" style="95" customWidth="1"/>
    <col min="7471" max="7471" width="0.625" style="95" customWidth="1"/>
    <col min="7472" max="7472" width="49.125" style="95" customWidth="1"/>
    <col min="7473" max="7473" width="0.625" style="95" customWidth="1"/>
    <col min="7474" max="7474" width="8" style="95" customWidth="1"/>
    <col min="7475" max="7475" width="5.25" style="95" customWidth="1"/>
    <col min="7476" max="7476" width="0.625" style="95" customWidth="1"/>
    <col min="7477" max="7477" width="6.25" style="95" customWidth="1"/>
    <col min="7478" max="7478" width="5.75" style="95" customWidth="1"/>
    <col min="7479" max="7479" width="0.625" style="95" customWidth="1"/>
    <col min="7480" max="7480" width="6.875" style="95" customWidth="1"/>
    <col min="7481" max="7481" width="9.25" style="95" customWidth="1"/>
    <col min="7482" max="7482" width="0.625" style="95" customWidth="1"/>
    <col min="7483" max="7724" width="10" style="95"/>
    <col min="7725" max="7725" width="0.625" style="95" customWidth="1"/>
    <col min="7726" max="7726" width="13.25" style="95" customWidth="1"/>
    <col min="7727" max="7727" width="0.625" style="95" customWidth="1"/>
    <col min="7728" max="7728" width="49.125" style="95" customWidth="1"/>
    <col min="7729" max="7729" width="0.625" style="95" customWidth="1"/>
    <col min="7730" max="7730" width="8" style="95" customWidth="1"/>
    <col min="7731" max="7731" width="5.25" style="95" customWidth="1"/>
    <col min="7732" max="7732" width="0.625" style="95" customWidth="1"/>
    <col min="7733" max="7733" width="6.25" style="95" customWidth="1"/>
    <col min="7734" max="7734" width="5.75" style="95" customWidth="1"/>
    <col min="7735" max="7735" width="0.625" style="95" customWidth="1"/>
    <col min="7736" max="7736" width="6.875" style="95" customWidth="1"/>
    <col min="7737" max="7737" width="9.25" style="95" customWidth="1"/>
    <col min="7738" max="7738" width="0.625" style="95" customWidth="1"/>
    <col min="7739" max="7980" width="10" style="95"/>
    <col min="7981" max="7981" width="0.625" style="95" customWidth="1"/>
    <col min="7982" max="7982" width="13.25" style="95" customWidth="1"/>
    <col min="7983" max="7983" width="0.625" style="95" customWidth="1"/>
    <col min="7984" max="7984" width="49.125" style="95" customWidth="1"/>
    <col min="7985" max="7985" width="0.625" style="95" customWidth="1"/>
    <col min="7986" max="7986" width="8" style="95" customWidth="1"/>
    <col min="7987" max="7987" width="5.25" style="95" customWidth="1"/>
    <col min="7988" max="7988" width="0.625" style="95" customWidth="1"/>
    <col min="7989" max="7989" width="6.25" style="95" customWidth="1"/>
    <col min="7990" max="7990" width="5.75" style="95" customWidth="1"/>
    <col min="7991" max="7991" width="0.625" style="95" customWidth="1"/>
    <col min="7992" max="7992" width="6.875" style="95" customWidth="1"/>
    <col min="7993" max="7993" width="9.25" style="95" customWidth="1"/>
    <col min="7994" max="7994" width="0.625" style="95" customWidth="1"/>
    <col min="7995" max="8236" width="10" style="95"/>
    <col min="8237" max="8237" width="0.625" style="95" customWidth="1"/>
    <col min="8238" max="8238" width="13.25" style="95" customWidth="1"/>
    <col min="8239" max="8239" width="0.625" style="95" customWidth="1"/>
    <col min="8240" max="8240" width="49.125" style="95" customWidth="1"/>
    <col min="8241" max="8241" width="0.625" style="95" customWidth="1"/>
    <col min="8242" max="8242" width="8" style="95" customWidth="1"/>
    <col min="8243" max="8243" width="5.25" style="95" customWidth="1"/>
    <col min="8244" max="8244" width="0.625" style="95" customWidth="1"/>
    <col min="8245" max="8245" width="6.25" style="95" customWidth="1"/>
    <col min="8246" max="8246" width="5.75" style="95" customWidth="1"/>
    <col min="8247" max="8247" width="0.625" style="95" customWidth="1"/>
    <col min="8248" max="8248" width="6.875" style="95" customWidth="1"/>
    <col min="8249" max="8249" width="9.25" style="95" customWidth="1"/>
    <col min="8250" max="8250" width="0.625" style="95" customWidth="1"/>
    <col min="8251" max="8492" width="10" style="95"/>
    <col min="8493" max="8493" width="0.625" style="95" customWidth="1"/>
    <col min="8494" max="8494" width="13.25" style="95" customWidth="1"/>
    <col min="8495" max="8495" width="0.625" style="95" customWidth="1"/>
    <col min="8496" max="8496" width="49.125" style="95" customWidth="1"/>
    <col min="8497" max="8497" width="0.625" style="95" customWidth="1"/>
    <col min="8498" max="8498" width="8" style="95" customWidth="1"/>
    <col min="8499" max="8499" width="5.25" style="95" customWidth="1"/>
    <col min="8500" max="8500" width="0.625" style="95" customWidth="1"/>
    <col min="8501" max="8501" width="6.25" style="95" customWidth="1"/>
    <col min="8502" max="8502" width="5.75" style="95" customWidth="1"/>
    <col min="8503" max="8503" width="0.625" style="95" customWidth="1"/>
    <col min="8504" max="8504" width="6.875" style="95" customWidth="1"/>
    <col min="8505" max="8505" width="9.25" style="95" customWidth="1"/>
    <col min="8506" max="8506" width="0.625" style="95" customWidth="1"/>
    <col min="8507" max="8748" width="10" style="95"/>
    <col min="8749" max="8749" width="0.625" style="95" customWidth="1"/>
    <col min="8750" max="8750" width="13.25" style="95" customWidth="1"/>
    <col min="8751" max="8751" width="0.625" style="95" customWidth="1"/>
    <col min="8752" max="8752" width="49.125" style="95" customWidth="1"/>
    <col min="8753" max="8753" width="0.625" style="95" customWidth="1"/>
    <col min="8754" max="8754" width="8" style="95" customWidth="1"/>
    <col min="8755" max="8755" width="5.25" style="95" customWidth="1"/>
    <col min="8756" max="8756" width="0.625" style="95" customWidth="1"/>
    <col min="8757" max="8757" width="6.25" style="95" customWidth="1"/>
    <col min="8758" max="8758" width="5.75" style="95" customWidth="1"/>
    <col min="8759" max="8759" width="0.625" style="95" customWidth="1"/>
    <col min="8760" max="8760" width="6.875" style="95" customWidth="1"/>
    <col min="8761" max="8761" width="9.25" style="95" customWidth="1"/>
    <col min="8762" max="8762" width="0.625" style="95" customWidth="1"/>
    <col min="8763" max="9004" width="10" style="95"/>
    <col min="9005" max="9005" width="0.625" style="95" customWidth="1"/>
    <col min="9006" max="9006" width="13.25" style="95" customWidth="1"/>
    <col min="9007" max="9007" width="0.625" style="95" customWidth="1"/>
    <col min="9008" max="9008" width="49.125" style="95" customWidth="1"/>
    <col min="9009" max="9009" width="0.625" style="95" customWidth="1"/>
    <col min="9010" max="9010" width="8" style="95" customWidth="1"/>
    <col min="9011" max="9011" width="5.25" style="95" customWidth="1"/>
    <col min="9012" max="9012" width="0.625" style="95" customWidth="1"/>
    <col min="9013" max="9013" width="6.25" style="95" customWidth="1"/>
    <col min="9014" max="9014" width="5.75" style="95" customWidth="1"/>
    <col min="9015" max="9015" width="0.625" style="95" customWidth="1"/>
    <col min="9016" max="9016" width="6.875" style="95" customWidth="1"/>
    <col min="9017" max="9017" width="9.25" style="95" customWidth="1"/>
    <col min="9018" max="9018" width="0.625" style="95" customWidth="1"/>
    <col min="9019" max="9260" width="10" style="95"/>
    <col min="9261" max="9261" width="0.625" style="95" customWidth="1"/>
    <col min="9262" max="9262" width="13.25" style="95" customWidth="1"/>
    <col min="9263" max="9263" width="0.625" style="95" customWidth="1"/>
    <col min="9264" max="9264" width="49.125" style="95" customWidth="1"/>
    <col min="9265" max="9265" width="0.625" style="95" customWidth="1"/>
    <col min="9266" max="9266" width="8" style="95" customWidth="1"/>
    <col min="9267" max="9267" width="5.25" style="95" customWidth="1"/>
    <col min="9268" max="9268" width="0.625" style="95" customWidth="1"/>
    <col min="9269" max="9269" width="6.25" style="95" customWidth="1"/>
    <col min="9270" max="9270" width="5.75" style="95" customWidth="1"/>
    <col min="9271" max="9271" width="0.625" style="95" customWidth="1"/>
    <col min="9272" max="9272" width="6.875" style="95" customWidth="1"/>
    <col min="9273" max="9273" width="9.25" style="95" customWidth="1"/>
    <col min="9274" max="9274" width="0.625" style="95" customWidth="1"/>
    <col min="9275" max="9516" width="10" style="95"/>
    <col min="9517" max="9517" width="0.625" style="95" customWidth="1"/>
    <col min="9518" max="9518" width="13.25" style="95" customWidth="1"/>
    <col min="9519" max="9519" width="0.625" style="95" customWidth="1"/>
    <col min="9520" max="9520" width="49.125" style="95" customWidth="1"/>
    <col min="9521" max="9521" width="0.625" style="95" customWidth="1"/>
    <col min="9522" max="9522" width="8" style="95" customWidth="1"/>
    <col min="9523" max="9523" width="5.25" style="95" customWidth="1"/>
    <col min="9524" max="9524" width="0.625" style="95" customWidth="1"/>
    <col min="9525" max="9525" width="6.25" style="95" customWidth="1"/>
    <col min="9526" max="9526" width="5.75" style="95" customWidth="1"/>
    <col min="9527" max="9527" width="0.625" style="95" customWidth="1"/>
    <col min="9528" max="9528" width="6.875" style="95" customWidth="1"/>
    <col min="9529" max="9529" width="9.25" style="95" customWidth="1"/>
    <col min="9530" max="9530" width="0.625" style="95" customWidth="1"/>
    <col min="9531" max="9772" width="10" style="95"/>
    <col min="9773" max="9773" width="0.625" style="95" customWidth="1"/>
    <col min="9774" max="9774" width="13.25" style="95" customWidth="1"/>
    <col min="9775" max="9775" width="0.625" style="95" customWidth="1"/>
    <col min="9776" max="9776" width="49.125" style="95" customWidth="1"/>
    <col min="9777" max="9777" width="0.625" style="95" customWidth="1"/>
    <col min="9778" max="9778" width="8" style="95" customWidth="1"/>
    <col min="9779" max="9779" width="5.25" style="95" customWidth="1"/>
    <col min="9780" max="9780" width="0.625" style="95" customWidth="1"/>
    <col min="9781" max="9781" width="6.25" style="95" customWidth="1"/>
    <col min="9782" max="9782" width="5.75" style="95" customWidth="1"/>
    <col min="9783" max="9783" width="0.625" style="95" customWidth="1"/>
    <col min="9784" max="9784" width="6.875" style="95" customWidth="1"/>
    <col min="9785" max="9785" width="9.25" style="95" customWidth="1"/>
    <col min="9786" max="9786" width="0.625" style="95" customWidth="1"/>
    <col min="9787" max="10028" width="10" style="95"/>
    <col min="10029" max="10029" width="0.625" style="95" customWidth="1"/>
    <col min="10030" max="10030" width="13.25" style="95" customWidth="1"/>
    <col min="10031" max="10031" width="0.625" style="95" customWidth="1"/>
    <col min="10032" max="10032" width="49.125" style="95" customWidth="1"/>
    <col min="10033" max="10033" width="0.625" style="95" customWidth="1"/>
    <col min="10034" max="10034" width="8" style="95" customWidth="1"/>
    <col min="10035" max="10035" width="5.25" style="95" customWidth="1"/>
    <col min="10036" max="10036" width="0.625" style="95" customWidth="1"/>
    <col min="10037" max="10037" width="6.25" style="95" customWidth="1"/>
    <col min="10038" max="10038" width="5.75" style="95" customWidth="1"/>
    <col min="10039" max="10039" width="0.625" style="95" customWidth="1"/>
    <col min="10040" max="10040" width="6.875" style="95" customWidth="1"/>
    <col min="10041" max="10041" width="9.25" style="95" customWidth="1"/>
    <col min="10042" max="10042" width="0.625" style="95" customWidth="1"/>
    <col min="10043" max="10284" width="10" style="95"/>
    <col min="10285" max="10285" width="0.625" style="95" customWidth="1"/>
    <col min="10286" max="10286" width="13.25" style="95" customWidth="1"/>
    <col min="10287" max="10287" width="0.625" style="95" customWidth="1"/>
    <col min="10288" max="10288" width="49.125" style="95" customWidth="1"/>
    <col min="10289" max="10289" width="0.625" style="95" customWidth="1"/>
    <col min="10290" max="10290" width="8" style="95" customWidth="1"/>
    <col min="10291" max="10291" width="5.25" style="95" customWidth="1"/>
    <col min="10292" max="10292" width="0.625" style="95" customWidth="1"/>
    <col min="10293" max="10293" width="6.25" style="95" customWidth="1"/>
    <col min="10294" max="10294" width="5.75" style="95" customWidth="1"/>
    <col min="10295" max="10295" width="0.625" style="95" customWidth="1"/>
    <col min="10296" max="10296" width="6.875" style="95" customWidth="1"/>
    <col min="10297" max="10297" width="9.25" style="95" customWidth="1"/>
    <col min="10298" max="10298" width="0.625" style="95" customWidth="1"/>
    <col min="10299" max="10540" width="10" style="95"/>
    <col min="10541" max="10541" width="0.625" style="95" customWidth="1"/>
    <col min="10542" max="10542" width="13.25" style="95" customWidth="1"/>
    <col min="10543" max="10543" width="0.625" style="95" customWidth="1"/>
    <col min="10544" max="10544" width="49.125" style="95" customWidth="1"/>
    <col min="10545" max="10545" width="0.625" style="95" customWidth="1"/>
    <col min="10546" max="10546" width="8" style="95" customWidth="1"/>
    <col min="10547" max="10547" width="5.25" style="95" customWidth="1"/>
    <col min="10548" max="10548" width="0.625" style="95" customWidth="1"/>
    <col min="10549" max="10549" width="6.25" style="95" customWidth="1"/>
    <col min="10550" max="10550" width="5.75" style="95" customWidth="1"/>
    <col min="10551" max="10551" width="0.625" style="95" customWidth="1"/>
    <col min="10552" max="10552" width="6.875" style="95" customWidth="1"/>
    <col min="10553" max="10553" width="9.25" style="95" customWidth="1"/>
    <col min="10554" max="10554" width="0.625" style="95" customWidth="1"/>
    <col min="10555" max="10796" width="10" style="95"/>
    <col min="10797" max="10797" width="0.625" style="95" customWidth="1"/>
    <col min="10798" max="10798" width="13.25" style="95" customWidth="1"/>
    <col min="10799" max="10799" width="0.625" style="95" customWidth="1"/>
    <col min="10800" max="10800" width="49.125" style="95" customWidth="1"/>
    <col min="10801" max="10801" width="0.625" style="95" customWidth="1"/>
    <col min="10802" max="10802" width="8" style="95" customWidth="1"/>
    <col min="10803" max="10803" width="5.25" style="95" customWidth="1"/>
    <col min="10804" max="10804" width="0.625" style="95" customWidth="1"/>
    <col min="10805" max="10805" width="6.25" style="95" customWidth="1"/>
    <col min="10806" max="10806" width="5.75" style="95" customWidth="1"/>
    <col min="10807" max="10807" width="0.625" style="95" customWidth="1"/>
    <col min="10808" max="10808" width="6.875" style="95" customWidth="1"/>
    <col min="10809" max="10809" width="9.25" style="95" customWidth="1"/>
    <col min="10810" max="10810" width="0.625" style="95" customWidth="1"/>
    <col min="10811" max="11052" width="10" style="95"/>
    <col min="11053" max="11053" width="0.625" style="95" customWidth="1"/>
    <col min="11054" max="11054" width="13.25" style="95" customWidth="1"/>
    <col min="11055" max="11055" width="0.625" style="95" customWidth="1"/>
    <col min="11056" max="11056" width="49.125" style="95" customWidth="1"/>
    <col min="11057" max="11057" width="0.625" style="95" customWidth="1"/>
    <col min="11058" max="11058" width="8" style="95" customWidth="1"/>
    <col min="11059" max="11059" width="5.25" style="95" customWidth="1"/>
    <col min="11060" max="11060" width="0.625" style="95" customWidth="1"/>
    <col min="11061" max="11061" width="6.25" style="95" customWidth="1"/>
    <col min="11062" max="11062" width="5.75" style="95" customWidth="1"/>
    <col min="11063" max="11063" width="0.625" style="95" customWidth="1"/>
    <col min="11064" max="11064" width="6.875" style="95" customWidth="1"/>
    <col min="11065" max="11065" width="9.25" style="95" customWidth="1"/>
    <col min="11066" max="11066" width="0.625" style="95" customWidth="1"/>
    <col min="11067" max="11308" width="10" style="95"/>
    <col min="11309" max="11309" width="0.625" style="95" customWidth="1"/>
    <col min="11310" max="11310" width="13.25" style="95" customWidth="1"/>
    <col min="11311" max="11311" width="0.625" style="95" customWidth="1"/>
    <col min="11312" max="11312" width="49.125" style="95" customWidth="1"/>
    <col min="11313" max="11313" width="0.625" style="95" customWidth="1"/>
    <col min="11314" max="11314" width="8" style="95" customWidth="1"/>
    <col min="11315" max="11315" width="5.25" style="95" customWidth="1"/>
    <col min="11316" max="11316" width="0.625" style="95" customWidth="1"/>
    <col min="11317" max="11317" width="6.25" style="95" customWidth="1"/>
    <col min="11318" max="11318" width="5.75" style="95" customWidth="1"/>
    <col min="11319" max="11319" width="0.625" style="95" customWidth="1"/>
    <col min="11320" max="11320" width="6.875" style="95" customWidth="1"/>
    <col min="11321" max="11321" width="9.25" style="95" customWidth="1"/>
    <col min="11322" max="11322" width="0.625" style="95" customWidth="1"/>
    <col min="11323" max="11564" width="10" style="95"/>
    <col min="11565" max="11565" width="0.625" style="95" customWidth="1"/>
    <col min="11566" max="11566" width="13.25" style="95" customWidth="1"/>
    <col min="11567" max="11567" width="0.625" style="95" customWidth="1"/>
    <col min="11568" max="11568" width="49.125" style="95" customWidth="1"/>
    <col min="11569" max="11569" width="0.625" style="95" customWidth="1"/>
    <col min="11570" max="11570" width="8" style="95" customWidth="1"/>
    <col min="11571" max="11571" width="5.25" style="95" customWidth="1"/>
    <col min="11572" max="11572" width="0.625" style="95" customWidth="1"/>
    <col min="11573" max="11573" width="6.25" style="95" customWidth="1"/>
    <col min="11574" max="11574" width="5.75" style="95" customWidth="1"/>
    <col min="11575" max="11575" width="0.625" style="95" customWidth="1"/>
    <col min="11576" max="11576" width="6.875" style="95" customWidth="1"/>
    <col min="11577" max="11577" width="9.25" style="95" customWidth="1"/>
    <col min="11578" max="11578" width="0.625" style="95" customWidth="1"/>
    <col min="11579" max="11820" width="10" style="95"/>
    <col min="11821" max="11821" width="0.625" style="95" customWidth="1"/>
    <col min="11822" max="11822" width="13.25" style="95" customWidth="1"/>
    <col min="11823" max="11823" width="0.625" style="95" customWidth="1"/>
    <col min="11824" max="11824" width="49.125" style="95" customWidth="1"/>
    <col min="11825" max="11825" width="0.625" style="95" customWidth="1"/>
    <col min="11826" max="11826" width="8" style="95" customWidth="1"/>
    <col min="11827" max="11827" width="5.25" style="95" customWidth="1"/>
    <col min="11828" max="11828" width="0.625" style="95" customWidth="1"/>
    <col min="11829" max="11829" width="6.25" style="95" customWidth="1"/>
    <col min="11830" max="11830" width="5.75" style="95" customWidth="1"/>
    <col min="11831" max="11831" width="0.625" style="95" customWidth="1"/>
    <col min="11832" max="11832" width="6.875" style="95" customWidth="1"/>
    <col min="11833" max="11833" width="9.25" style="95" customWidth="1"/>
    <col min="11834" max="11834" width="0.625" style="95" customWidth="1"/>
    <col min="11835" max="12076" width="10" style="95"/>
    <col min="12077" max="12077" width="0.625" style="95" customWidth="1"/>
    <col min="12078" max="12078" width="13.25" style="95" customWidth="1"/>
    <col min="12079" max="12079" width="0.625" style="95" customWidth="1"/>
    <col min="12080" max="12080" width="49.125" style="95" customWidth="1"/>
    <col min="12081" max="12081" width="0.625" style="95" customWidth="1"/>
    <col min="12082" max="12082" width="8" style="95" customWidth="1"/>
    <col min="12083" max="12083" width="5.25" style="95" customWidth="1"/>
    <col min="12084" max="12084" width="0.625" style="95" customWidth="1"/>
    <col min="12085" max="12085" width="6.25" style="95" customWidth="1"/>
    <col min="12086" max="12086" width="5.75" style="95" customWidth="1"/>
    <col min="12087" max="12087" width="0.625" style="95" customWidth="1"/>
    <col min="12088" max="12088" width="6.875" style="95" customWidth="1"/>
    <col min="12089" max="12089" width="9.25" style="95" customWidth="1"/>
    <col min="12090" max="12090" width="0.625" style="95" customWidth="1"/>
    <col min="12091" max="12332" width="10" style="95"/>
    <col min="12333" max="12333" width="0.625" style="95" customWidth="1"/>
    <col min="12334" max="12334" width="13.25" style="95" customWidth="1"/>
    <col min="12335" max="12335" width="0.625" style="95" customWidth="1"/>
    <col min="12336" max="12336" width="49.125" style="95" customWidth="1"/>
    <col min="12337" max="12337" width="0.625" style="95" customWidth="1"/>
    <col min="12338" max="12338" width="8" style="95" customWidth="1"/>
    <col min="12339" max="12339" width="5.25" style="95" customWidth="1"/>
    <col min="12340" max="12340" width="0.625" style="95" customWidth="1"/>
    <col min="12341" max="12341" width="6.25" style="95" customWidth="1"/>
    <col min="12342" max="12342" width="5.75" style="95" customWidth="1"/>
    <col min="12343" max="12343" width="0.625" style="95" customWidth="1"/>
    <col min="12344" max="12344" width="6.875" style="95" customWidth="1"/>
    <col min="12345" max="12345" width="9.25" style="95" customWidth="1"/>
    <col min="12346" max="12346" width="0.625" style="95" customWidth="1"/>
    <col min="12347" max="12588" width="10" style="95"/>
    <col min="12589" max="12589" width="0.625" style="95" customWidth="1"/>
    <col min="12590" max="12590" width="13.25" style="95" customWidth="1"/>
    <col min="12591" max="12591" width="0.625" style="95" customWidth="1"/>
    <col min="12592" max="12592" width="49.125" style="95" customWidth="1"/>
    <col min="12593" max="12593" width="0.625" style="95" customWidth="1"/>
    <col min="12594" max="12594" width="8" style="95" customWidth="1"/>
    <col min="12595" max="12595" width="5.25" style="95" customWidth="1"/>
    <col min="12596" max="12596" width="0.625" style="95" customWidth="1"/>
    <col min="12597" max="12597" width="6.25" style="95" customWidth="1"/>
    <col min="12598" max="12598" width="5.75" style="95" customWidth="1"/>
    <col min="12599" max="12599" width="0.625" style="95" customWidth="1"/>
    <col min="12600" max="12600" width="6.875" style="95" customWidth="1"/>
    <col min="12601" max="12601" width="9.25" style="95" customWidth="1"/>
    <col min="12602" max="12602" width="0.625" style="95" customWidth="1"/>
    <col min="12603" max="12844" width="10" style="95"/>
    <col min="12845" max="12845" width="0.625" style="95" customWidth="1"/>
    <col min="12846" max="12846" width="13.25" style="95" customWidth="1"/>
    <col min="12847" max="12847" width="0.625" style="95" customWidth="1"/>
    <col min="12848" max="12848" width="49.125" style="95" customWidth="1"/>
    <col min="12849" max="12849" width="0.625" style="95" customWidth="1"/>
    <col min="12850" max="12850" width="8" style="95" customWidth="1"/>
    <col min="12851" max="12851" width="5.25" style="95" customWidth="1"/>
    <col min="12852" max="12852" width="0.625" style="95" customWidth="1"/>
    <col min="12853" max="12853" width="6.25" style="95" customWidth="1"/>
    <col min="12854" max="12854" width="5.75" style="95" customWidth="1"/>
    <col min="12855" max="12855" width="0.625" style="95" customWidth="1"/>
    <col min="12856" max="12856" width="6.875" style="95" customWidth="1"/>
    <col min="12857" max="12857" width="9.25" style="95" customWidth="1"/>
    <col min="12858" max="12858" width="0.625" style="95" customWidth="1"/>
    <col min="12859" max="13100" width="10" style="95"/>
    <col min="13101" max="13101" width="0.625" style="95" customWidth="1"/>
    <col min="13102" max="13102" width="13.25" style="95" customWidth="1"/>
    <col min="13103" max="13103" width="0.625" style="95" customWidth="1"/>
    <col min="13104" max="13104" width="49.125" style="95" customWidth="1"/>
    <col min="13105" max="13105" width="0.625" style="95" customWidth="1"/>
    <col min="13106" max="13106" width="8" style="95" customWidth="1"/>
    <col min="13107" max="13107" width="5.25" style="95" customWidth="1"/>
    <col min="13108" max="13108" width="0.625" style="95" customWidth="1"/>
    <col min="13109" max="13109" width="6.25" style="95" customWidth="1"/>
    <col min="13110" max="13110" width="5.75" style="95" customWidth="1"/>
    <col min="13111" max="13111" width="0.625" style="95" customWidth="1"/>
    <col min="13112" max="13112" width="6.875" style="95" customWidth="1"/>
    <col min="13113" max="13113" width="9.25" style="95" customWidth="1"/>
    <col min="13114" max="13114" width="0.625" style="95" customWidth="1"/>
    <col min="13115" max="13356" width="10" style="95"/>
    <col min="13357" max="13357" width="0.625" style="95" customWidth="1"/>
    <col min="13358" max="13358" width="13.25" style="95" customWidth="1"/>
    <col min="13359" max="13359" width="0.625" style="95" customWidth="1"/>
    <col min="13360" max="13360" width="49.125" style="95" customWidth="1"/>
    <col min="13361" max="13361" width="0.625" style="95" customWidth="1"/>
    <col min="13362" max="13362" width="8" style="95" customWidth="1"/>
    <col min="13363" max="13363" width="5.25" style="95" customWidth="1"/>
    <col min="13364" max="13364" width="0.625" style="95" customWidth="1"/>
    <col min="13365" max="13365" width="6.25" style="95" customWidth="1"/>
    <col min="13366" max="13366" width="5.75" style="95" customWidth="1"/>
    <col min="13367" max="13367" width="0.625" style="95" customWidth="1"/>
    <col min="13368" max="13368" width="6.875" style="95" customWidth="1"/>
    <col min="13369" max="13369" width="9.25" style="95" customWidth="1"/>
    <col min="13370" max="13370" width="0.625" style="95" customWidth="1"/>
    <col min="13371" max="13612" width="10" style="95"/>
    <col min="13613" max="13613" width="0.625" style="95" customWidth="1"/>
    <col min="13614" max="13614" width="13.25" style="95" customWidth="1"/>
    <col min="13615" max="13615" width="0.625" style="95" customWidth="1"/>
    <col min="13616" max="13616" width="49.125" style="95" customWidth="1"/>
    <col min="13617" max="13617" width="0.625" style="95" customWidth="1"/>
    <col min="13618" max="13618" width="8" style="95" customWidth="1"/>
    <col min="13619" max="13619" width="5.25" style="95" customWidth="1"/>
    <col min="13620" max="13620" width="0.625" style="95" customWidth="1"/>
    <col min="13621" max="13621" width="6.25" style="95" customWidth="1"/>
    <col min="13622" max="13622" width="5.75" style="95" customWidth="1"/>
    <col min="13623" max="13623" width="0.625" style="95" customWidth="1"/>
    <col min="13624" max="13624" width="6.875" style="95" customWidth="1"/>
    <col min="13625" max="13625" width="9.25" style="95" customWidth="1"/>
    <col min="13626" max="13626" width="0.625" style="95" customWidth="1"/>
    <col min="13627" max="16384" width="10" style="95"/>
  </cols>
  <sheetData>
    <row r="1" spans="1:17" customFormat="1" ht="18.75" x14ac:dyDescent="0.2">
      <c r="A1" s="587" t="s">
        <v>170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9"/>
      <c r="O1" s="255"/>
      <c r="P1" s="255"/>
      <c r="Q1" s="255"/>
    </row>
    <row r="2" spans="1:17" customFormat="1" ht="15.75" x14ac:dyDescent="0.2">
      <c r="A2" s="590" t="s">
        <v>171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591"/>
      <c r="O2" s="124"/>
      <c r="P2" s="124"/>
      <c r="Q2" s="124"/>
    </row>
    <row r="3" spans="1:17" customFormat="1" ht="14.25" x14ac:dyDescent="0.2">
      <c r="A3" s="592" t="s">
        <v>172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593"/>
      <c r="O3" s="125"/>
      <c r="P3" s="125"/>
      <c r="Q3" s="125"/>
    </row>
    <row r="4" spans="1:17" customFormat="1" ht="14.25" x14ac:dyDescent="0.2">
      <c r="A4" s="592" t="s">
        <v>173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593"/>
      <c r="O4" s="125"/>
      <c r="P4" s="125"/>
      <c r="Q4" s="125"/>
    </row>
    <row r="5" spans="1:17" s="4" customFormat="1" ht="15" x14ac:dyDescent="0.25">
      <c r="A5" s="310"/>
      <c r="B5" s="310" t="s">
        <v>65</v>
      </c>
      <c r="C5" s="25" t="s">
        <v>66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311"/>
    </row>
    <row r="6" spans="1:17" s="4" customFormat="1" ht="15" x14ac:dyDescent="0.25">
      <c r="A6" s="310"/>
      <c r="B6" s="310" t="s">
        <v>67</v>
      </c>
      <c r="C6" s="25" t="s">
        <v>68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311"/>
    </row>
    <row r="7" spans="1:17" s="4" customFormat="1" ht="15" x14ac:dyDescent="0.25">
      <c r="A7" s="310"/>
      <c r="B7" s="310" t="s">
        <v>69</v>
      </c>
      <c r="C7" s="25" t="s">
        <v>170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311"/>
    </row>
    <row r="8" spans="1:17" s="4" customFormat="1" ht="15" x14ac:dyDescent="0.25">
      <c r="A8" s="310"/>
      <c r="B8" s="310" t="s">
        <v>70</v>
      </c>
      <c r="C8" s="26" t="s">
        <v>411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311"/>
    </row>
    <row r="9" spans="1:17" s="39" customFormat="1" ht="18" x14ac:dyDescent="0.2">
      <c r="A9" s="523" t="s">
        <v>123</v>
      </c>
      <c r="B9" s="524"/>
      <c r="C9" s="524"/>
      <c r="D9" s="524"/>
      <c r="E9" s="524"/>
      <c r="F9" s="524"/>
      <c r="G9" s="524"/>
      <c r="H9" s="524"/>
      <c r="I9" s="524"/>
      <c r="J9" s="524"/>
      <c r="K9" s="524"/>
      <c r="L9" s="524"/>
      <c r="M9" s="524"/>
      <c r="N9" s="525"/>
    </row>
    <row r="10" spans="1:17" s="39" customFormat="1" ht="3.95" customHeight="1" thickBot="1" x14ac:dyDescent="0.25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9"/>
      <c r="N10" s="42"/>
    </row>
    <row r="11" spans="1:17" s="39" customFormat="1" ht="12" customHeight="1" x14ac:dyDescent="0.2">
      <c r="A11" s="40"/>
      <c r="B11" s="50" t="s">
        <v>124</v>
      </c>
      <c r="D11" s="526" t="s">
        <v>35</v>
      </c>
      <c r="E11" s="527"/>
      <c r="F11" s="527"/>
      <c r="G11" s="527"/>
      <c r="H11" s="527"/>
      <c r="I11" s="527"/>
      <c r="J11" s="528"/>
      <c r="K11" s="41"/>
      <c r="L11" s="526" t="s">
        <v>126</v>
      </c>
      <c r="M11" s="528"/>
      <c r="N11" s="42"/>
    </row>
    <row r="12" spans="1:17" s="39" customFormat="1" ht="10.5" customHeight="1" x14ac:dyDescent="0.2">
      <c r="A12" s="40"/>
      <c r="B12" s="51"/>
      <c r="D12" s="529"/>
      <c r="E12" s="530"/>
      <c r="F12" s="530"/>
      <c r="G12" s="530"/>
      <c r="H12" s="530"/>
      <c r="I12" s="530"/>
      <c r="J12" s="531"/>
      <c r="L12" s="594" t="s">
        <v>312</v>
      </c>
      <c r="M12" s="595"/>
      <c r="N12" s="42"/>
    </row>
    <row r="13" spans="1:17" s="39" customFormat="1" ht="3.95" customHeight="1" thickBot="1" x14ac:dyDescent="0.25">
      <c r="A13" s="40"/>
      <c r="F13" s="41"/>
      <c r="G13" s="41"/>
      <c r="H13" s="41"/>
      <c r="I13" s="41"/>
      <c r="J13" s="41"/>
      <c r="L13" s="41"/>
      <c r="M13" s="41"/>
      <c r="N13" s="42"/>
    </row>
    <row r="14" spans="1:17" s="39" customFormat="1" ht="26.25" customHeight="1" x14ac:dyDescent="0.2">
      <c r="A14" s="40"/>
      <c r="B14" s="52" t="s">
        <v>128</v>
      </c>
      <c r="C14" s="53"/>
      <c r="D14" s="54" t="s">
        <v>330</v>
      </c>
      <c r="E14" s="55"/>
      <c r="F14" s="55"/>
      <c r="G14" s="56"/>
      <c r="H14" s="57"/>
      <c r="I14" s="596" t="s">
        <v>407</v>
      </c>
      <c r="J14" s="597"/>
      <c r="K14" s="597"/>
      <c r="L14" s="597"/>
      <c r="M14" s="256">
        <v>96401</v>
      </c>
      <c r="N14" s="42"/>
    </row>
    <row r="15" spans="1:17" s="39" customFormat="1" ht="3.75" customHeight="1" x14ac:dyDescent="0.2">
      <c r="A15" s="40"/>
      <c r="B15" s="61"/>
      <c r="N15" s="42"/>
    </row>
    <row r="16" spans="1:17" s="39" customFormat="1" ht="12.75" customHeight="1" x14ac:dyDescent="0.2">
      <c r="A16" s="40"/>
      <c r="B16" s="534" t="s">
        <v>75</v>
      </c>
      <c r="C16" s="535"/>
      <c r="D16" s="534" t="s">
        <v>22</v>
      </c>
      <c r="E16" s="538" t="s">
        <v>314</v>
      </c>
      <c r="F16" s="538" t="s">
        <v>136</v>
      </c>
      <c r="G16" s="540" t="s">
        <v>315</v>
      </c>
      <c r="H16" s="541"/>
      <c r="I16" s="542"/>
      <c r="J16" s="63" t="s">
        <v>137</v>
      </c>
      <c r="K16" s="63"/>
      <c r="L16" s="64"/>
      <c r="M16" s="62" t="s">
        <v>137</v>
      </c>
      <c r="N16" s="42"/>
    </row>
    <row r="17" spans="1:16" s="39" customFormat="1" x14ac:dyDescent="0.2">
      <c r="A17" s="40"/>
      <c r="B17" s="536"/>
      <c r="C17" s="537"/>
      <c r="D17" s="536"/>
      <c r="E17" s="539"/>
      <c r="F17" s="539"/>
      <c r="G17" s="543"/>
      <c r="H17" s="544"/>
      <c r="I17" s="545"/>
      <c r="J17" s="65" t="s">
        <v>316</v>
      </c>
      <c r="K17" s="65"/>
      <c r="L17" s="66"/>
      <c r="M17" s="67" t="s">
        <v>317</v>
      </c>
      <c r="N17" s="42"/>
    </row>
    <row r="18" spans="1:16" s="39" customFormat="1" x14ac:dyDescent="0.2">
      <c r="A18" s="40"/>
      <c r="B18" s="257" t="s">
        <v>320</v>
      </c>
      <c r="C18" s="258"/>
      <c r="D18" s="259" t="s">
        <v>113</v>
      </c>
      <c r="E18" s="263" t="s">
        <v>321</v>
      </c>
      <c r="F18" s="264" t="s">
        <v>322</v>
      </c>
      <c r="G18" s="583">
        <v>1.2</v>
      </c>
      <c r="H18" s="584"/>
      <c r="I18" s="585"/>
      <c r="J18" s="598">
        <f>4969.18/1000</f>
        <v>4.9691800000000006</v>
      </c>
      <c r="K18" s="598"/>
      <c r="L18" s="598"/>
      <c r="M18" s="265">
        <f>TRUNC(J18*G18,2)</f>
        <v>5.96</v>
      </c>
      <c r="N18" s="42"/>
      <c r="P18" s="262"/>
    </row>
    <row r="19" spans="1:16" s="39" customFormat="1" ht="48" x14ac:dyDescent="0.2">
      <c r="A19" s="40"/>
      <c r="B19" s="257">
        <v>91486</v>
      </c>
      <c r="C19" s="258"/>
      <c r="D19" s="259" t="s">
        <v>114</v>
      </c>
      <c r="E19" s="260" t="s">
        <v>405</v>
      </c>
      <c r="F19" s="261" t="s">
        <v>327</v>
      </c>
      <c r="G19" s="583">
        <v>4.8999999999999998E-3</v>
      </c>
      <c r="H19" s="584"/>
      <c r="I19" s="585"/>
      <c r="J19" s="586">
        <v>73.63</v>
      </c>
      <c r="K19" s="586" t="b">
        <v>0</v>
      </c>
      <c r="L19" s="586" t="b">
        <v>0</v>
      </c>
      <c r="M19" s="266">
        <f>TRUNC(J19*G19,2)</f>
        <v>0.36</v>
      </c>
      <c r="N19" s="42"/>
      <c r="P19" s="262"/>
    </row>
    <row r="20" spans="1:16" s="39" customFormat="1" ht="48" x14ac:dyDescent="0.2">
      <c r="A20" s="40"/>
      <c r="B20" s="257">
        <v>83362</v>
      </c>
      <c r="C20" s="258"/>
      <c r="D20" s="259" t="s">
        <v>114</v>
      </c>
      <c r="E20" s="260" t="s">
        <v>406</v>
      </c>
      <c r="F20" s="261" t="s">
        <v>319</v>
      </c>
      <c r="G20" s="583">
        <v>1E-3</v>
      </c>
      <c r="H20" s="584"/>
      <c r="I20" s="585"/>
      <c r="J20" s="586">
        <v>267.79000000000002</v>
      </c>
      <c r="K20" s="586" t="b">
        <v>0</v>
      </c>
      <c r="L20" s="586" t="b">
        <v>0</v>
      </c>
      <c r="M20" s="266">
        <f t="shared" ref="M20:M25" si="0">TRUNC(J20*G20,2)</f>
        <v>0.26</v>
      </c>
      <c r="N20" s="42"/>
      <c r="P20" s="262"/>
    </row>
    <row r="21" spans="1:16" s="39" customFormat="1" x14ac:dyDescent="0.2">
      <c r="A21" s="40"/>
      <c r="B21" s="257">
        <v>88316</v>
      </c>
      <c r="C21" s="258"/>
      <c r="D21" s="259" t="s">
        <v>114</v>
      </c>
      <c r="E21" s="260" t="s">
        <v>324</v>
      </c>
      <c r="F21" s="261" t="s">
        <v>127</v>
      </c>
      <c r="G21" s="583">
        <v>5.7999999999999996E-3</v>
      </c>
      <c r="H21" s="584"/>
      <c r="I21" s="585"/>
      <c r="J21" s="586">
        <v>23.84</v>
      </c>
      <c r="K21" s="586" t="b">
        <v>0</v>
      </c>
      <c r="L21" s="586" t="b">
        <v>0</v>
      </c>
      <c r="M21" s="266">
        <f t="shared" si="0"/>
        <v>0.13</v>
      </c>
      <c r="N21" s="42"/>
      <c r="P21" s="262"/>
    </row>
    <row r="22" spans="1:16" s="39" customFormat="1" ht="24" x14ac:dyDescent="0.2">
      <c r="A22" s="40"/>
      <c r="B22" s="257">
        <v>89036</v>
      </c>
      <c r="C22" s="258"/>
      <c r="D22" s="259" t="s">
        <v>114</v>
      </c>
      <c r="E22" s="260" t="s">
        <v>326</v>
      </c>
      <c r="F22" s="261" t="s">
        <v>327</v>
      </c>
      <c r="G22" s="583">
        <v>4.1000000000000003E-3</v>
      </c>
      <c r="H22" s="584"/>
      <c r="I22" s="585"/>
      <c r="J22" s="586">
        <v>48.28</v>
      </c>
      <c r="K22" s="586" t="b">
        <v>0</v>
      </c>
      <c r="L22" s="586" t="b">
        <v>0</v>
      </c>
      <c r="M22" s="266">
        <f t="shared" si="0"/>
        <v>0.19</v>
      </c>
      <c r="N22" s="42"/>
      <c r="P22" s="262"/>
    </row>
    <row r="23" spans="1:16" s="39" customFormat="1" ht="24" x14ac:dyDescent="0.2">
      <c r="A23" s="40"/>
      <c r="B23" s="257">
        <v>89035</v>
      </c>
      <c r="C23" s="258"/>
      <c r="D23" s="259" t="s">
        <v>114</v>
      </c>
      <c r="E23" s="260" t="s">
        <v>325</v>
      </c>
      <c r="F23" s="261" t="s">
        <v>319</v>
      </c>
      <c r="G23" s="583">
        <v>1.6999999999999999E-3</v>
      </c>
      <c r="H23" s="584"/>
      <c r="I23" s="585"/>
      <c r="J23" s="586">
        <v>129.47</v>
      </c>
      <c r="K23" s="586" t="b">
        <v>0</v>
      </c>
      <c r="L23" s="586" t="b">
        <v>0</v>
      </c>
      <c r="M23" s="266">
        <f>TRUNC(J23*G23,2)</f>
        <v>0.22</v>
      </c>
      <c r="N23" s="42"/>
      <c r="P23" s="262"/>
    </row>
    <row r="24" spans="1:16" s="39" customFormat="1" ht="36" x14ac:dyDescent="0.2">
      <c r="A24" s="40"/>
      <c r="B24" s="257">
        <v>5839</v>
      </c>
      <c r="C24" s="258"/>
      <c r="D24" s="259" t="s">
        <v>114</v>
      </c>
      <c r="E24" s="260" t="s">
        <v>318</v>
      </c>
      <c r="F24" s="261" t="s">
        <v>319</v>
      </c>
      <c r="G24" s="583">
        <v>2E-3</v>
      </c>
      <c r="H24" s="584"/>
      <c r="I24" s="585"/>
      <c r="J24" s="586">
        <v>9.65</v>
      </c>
      <c r="K24" s="586" t="b">
        <v>0</v>
      </c>
      <c r="L24" s="586" t="b">
        <v>0</v>
      </c>
      <c r="M24" s="266">
        <f t="shared" si="0"/>
        <v>0.01</v>
      </c>
      <c r="N24" s="42"/>
      <c r="P24" s="262"/>
    </row>
    <row r="25" spans="1:16" s="39" customFormat="1" ht="36" x14ac:dyDescent="0.2">
      <c r="A25" s="40"/>
      <c r="B25" s="257">
        <v>5841</v>
      </c>
      <c r="C25" s="258"/>
      <c r="D25" s="259" t="s">
        <v>114</v>
      </c>
      <c r="E25" s="260" t="s">
        <v>318</v>
      </c>
      <c r="F25" s="261" t="s">
        <v>327</v>
      </c>
      <c r="G25" s="583">
        <v>4.0000000000000001E-3</v>
      </c>
      <c r="H25" s="584"/>
      <c r="I25" s="585"/>
      <c r="J25" s="586">
        <v>4.8499999999999996</v>
      </c>
      <c r="K25" s="586" t="b">
        <v>0</v>
      </c>
      <c r="L25" s="586" t="b">
        <v>0</v>
      </c>
      <c r="M25" s="266">
        <f t="shared" si="0"/>
        <v>0.01</v>
      </c>
      <c r="N25" s="42"/>
      <c r="P25" s="262"/>
    </row>
    <row r="26" spans="1:16" s="39" customFormat="1" ht="15.75" customHeight="1" thickBot="1" x14ac:dyDescent="0.25">
      <c r="A26" s="87"/>
      <c r="B26" s="599" t="s">
        <v>142</v>
      </c>
      <c r="C26" s="600"/>
      <c r="D26" s="600"/>
      <c r="E26" s="600"/>
      <c r="F26" s="600"/>
      <c r="G26" s="600"/>
      <c r="H26" s="600"/>
      <c r="I26" s="600"/>
      <c r="J26" s="600"/>
      <c r="K26" s="600"/>
      <c r="L26" s="601"/>
      <c r="M26" s="267">
        <f>SUM(M18:M25)</f>
        <v>7.14</v>
      </c>
      <c r="N26" s="94"/>
    </row>
    <row r="27" spans="1:16" ht="15" customHeight="1" x14ac:dyDescent="0.2">
      <c r="B27" s="602" t="s">
        <v>440</v>
      </c>
      <c r="C27" s="602"/>
      <c r="D27" s="602"/>
      <c r="E27" s="602"/>
      <c r="F27" s="602"/>
      <c r="G27" s="602"/>
      <c r="H27" s="602"/>
      <c r="I27" s="602"/>
      <c r="J27" s="602"/>
      <c r="K27" s="602"/>
      <c r="L27" s="602"/>
      <c r="M27" s="602"/>
    </row>
    <row r="28" spans="1:16" x14ac:dyDescent="0.2"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</row>
  </sheetData>
  <mergeCells count="32">
    <mergeCell ref="J20:L20"/>
    <mergeCell ref="B26:L26"/>
    <mergeCell ref="B27:M28"/>
    <mergeCell ref="G21:I21"/>
    <mergeCell ref="J21:L21"/>
    <mergeCell ref="G23:I23"/>
    <mergeCell ref="J23:L23"/>
    <mergeCell ref="G22:I22"/>
    <mergeCell ref="J22:L22"/>
    <mergeCell ref="A1:N1"/>
    <mergeCell ref="A2:N2"/>
    <mergeCell ref="A3:N3"/>
    <mergeCell ref="A4:N4"/>
    <mergeCell ref="D11:J12"/>
    <mergeCell ref="L11:M11"/>
    <mergeCell ref="L12:M12"/>
    <mergeCell ref="A9:N9"/>
    <mergeCell ref="G25:I25"/>
    <mergeCell ref="J25:L25"/>
    <mergeCell ref="G19:I19"/>
    <mergeCell ref="J19:L19"/>
    <mergeCell ref="I14:L14"/>
    <mergeCell ref="B16:C17"/>
    <mergeCell ref="D16:D17"/>
    <mergeCell ref="E16:E17"/>
    <mergeCell ref="F16:F17"/>
    <mergeCell ref="G16:I17"/>
    <mergeCell ref="G24:I24"/>
    <mergeCell ref="J24:L24"/>
    <mergeCell ref="G18:I18"/>
    <mergeCell ref="J18:L18"/>
    <mergeCell ref="G20:I20"/>
  </mergeCells>
  <dataValidations disablePrompts="1" count="2">
    <dataValidation type="list" allowBlank="1" showInputMessage="1" showErrorMessage="1" sqref="D18:D25" xr:uid="{CD085E0D-3331-4D7E-A02C-FE6E91C2B194}">
      <formula1>$P$1:$P$4</formula1>
    </dataValidation>
    <dataValidation type="list" allowBlank="1" showInputMessage="1" showErrorMessage="1" sqref="O18:O25" xr:uid="{3464950A-7F9C-4485-8770-9B4718AC2564}">
      <formula1>$P$1:$P$2</formula1>
    </dataValidation>
  </dataValidations>
  <printOptions horizontalCentered="1"/>
  <pageMargins left="0.15748031496062992" right="0.19685039370078741" top="0.78740157480314965" bottom="0.78740157480314965" header="0.15748031496062992" footer="0.31496062992125984"/>
  <pageSetup paperSize="9" scale="81" firstPageNumber="25" fitToHeight="0" orientation="landscape" useFirstPageNumber="1" r:id="rId1"/>
  <headerFooter scaleWithDoc="0">
    <oddFooter>&amp;C&amp;"-,Negrito itálico"Kaik Eduardo Silva Vilar
Engenheiro Civil
CREA: 241510947-9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20F1-47DA-46F1-AFC7-2E28BA88C336}">
  <sheetPr>
    <tabColor theme="7"/>
  </sheetPr>
  <dimension ref="A1:Q35"/>
  <sheetViews>
    <sheetView showGridLines="0" showZeros="0" view="pageBreakPreview" topLeftCell="A7" zoomScale="85" zoomScaleNormal="100" zoomScaleSheetLayoutView="85" workbookViewId="0">
      <selection activeCell="G30" sqref="G30:I30"/>
    </sheetView>
  </sheetViews>
  <sheetFormatPr defaultColWidth="10" defaultRowHeight="12.75" x14ac:dyDescent="0.2"/>
  <cols>
    <col min="1" max="1" width="0.625" style="95" customWidth="1"/>
    <col min="2" max="2" width="13.25" style="95" customWidth="1"/>
    <col min="3" max="3" width="0.625" style="95" customWidth="1"/>
    <col min="4" max="4" width="13.75" style="95" customWidth="1"/>
    <col min="5" max="5" width="47" style="95" customWidth="1"/>
    <col min="6" max="6" width="9.375" style="96" bestFit="1" customWidth="1"/>
    <col min="7" max="7" width="6.75" style="96" customWidth="1"/>
    <col min="8" max="8" width="0.625" style="96" customWidth="1"/>
    <col min="9" max="9" width="6.75" style="96" customWidth="1"/>
    <col min="10" max="10" width="12" style="96" customWidth="1"/>
    <col min="11" max="11" width="0.625" style="96" customWidth="1"/>
    <col min="12" max="12" width="12" style="96" customWidth="1"/>
    <col min="13" max="13" width="26.5" style="96" customWidth="1"/>
    <col min="14" max="14" width="0.625" style="95" customWidth="1"/>
    <col min="15" max="15" width="12.5" style="95" hidden="1" customWidth="1"/>
    <col min="16" max="16" width="0" style="95" hidden="1" customWidth="1"/>
    <col min="17" max="41" width="10" style="95"/>
    <col min="42" max="42" width="0.625" style="95" customWidth="1"/>
    <col min="43" max="43" width="13.25" style="95" customWidth="1"/>
    <col min="44" max="44" width="0.625" style="95" customWidth="1"/>
    <col min="45" max="45" width="49.125" style="95" customWidth="1"/>
    <col min="46" max="46" width="0.625" style="95" customWidth="1"/>
    <col min="47" max="47" width="8" style="95" customWidth="1"/>
    <col min="48" max="48" width="5.25" style="95" customWidth="1"/>
    <col min="49" max="49" width="0.625" style="95" customWidth="1"/>
    <col min="50" max="50" width="6.25" style="95" customWidth="1"/>
    <col min="51" max="51" width="5.75" style="95" customWidth="1"/>
    <col min="52" max="52" width="0.625" style="95" customWidth="1"/>
    <col min="53" max="53" width="6.875" style="95" customWidth="1"/>
    <col min="54" max="54" width="9.25" style="95" customWidth="1"/>
    <col min="55" max="55" width="0.625" style="95" customWidth="1"/>
    <col min="56" max="297" width="10" style="95"/>
    <col min="298" max="298" width="0.625" style="95" customWidth="1"/>
    <col min="299" max="299" width="13.25" style="95" customWidth="1"/>
    <col min="300" max="300" width="0.625" style="95" customWidth="1"/>
    <col min="301" max="301" width="49.125" style="95" customWidth="1"/>
    <col min="302" max="302" width="0.625" style="95" customWidth="1"/>
    <col min="303" max="303" width="8" style="95" customWidth="1"/>
    <col min="304" max="304" width="5.25" style="95" customWidth="1"/>
    <col min="305" max="305" width="0.625" style="95" customWidth="1"/>
    <col min="306" max="306" width="6.25" style="95" customWidth="1"/>
    <col min="307" max="307" width="5.75" style="95" customWidth="1"/>
    <col min="308" max="308" width="0.625" style="95" customWidth="1"/>
    <col min="309" max="309" width="6.875" style="95" customWidth="1"/>
    <col min="310" max="310" width="9.25" style="95" customWidth="1"/>
    <col min="311" max="311" width="0.625" style="95" customWidth="1"/>
    <col min="312" max="553" width="10" style="95"/>
    <col min="554" max="554" width="0.625" style="95" customWidth="1"/>
    <col min="555" max="555" width="13.25" style="95" customWidth="1"/>
    <col min="556" max="556" width="0.625" style="95" customWidth="1"/>
    <col min="557" max="557" width="49.125" style="95" customWidth="1"/>
    <col min="558" max="558" width="0.625" style="95" customWidth="1"/>
    <col min="559" max="559" width="8" style="95" customWidth="1"/>
    <col min="560" max="560" width="5.25" style="95" customWidth="1"/>
    <col min="561" max="561" width="0.625" style="95" customWidth="1"/>
    <col min="562" max="562" width="6.25" style="95" customWidth="1"/>
    <col min="563" max="563" width="5.75" style="95" customWidth="1"/>
    <col min="564" max="564" width="0.625" style="95" customWidth="1"/>
    <col min="565" max="565" width="6.875" style="95" customWidth="1"/>
    <col min="566" max="566" width="9.25" style="95" customWidth="1"/>
    <col min="567" max="567" width="0.625" style="95" customWidth="1"/>
    <col min="568" max="809" width="10" style="95"/>
    <col min="810" max="810" width="0.625" style="95" customWidth="1"/>
    <col min="811" max="811" width="13.25" style="95" customWidth="1"/>
    <col min="812" max="812" width="0.625" style="95" customWidth="1"/>
    <col min="813" max="813" width="49.125" style="95" customWidth="1"/>
    <col min="814" max="814" width="0.625" style="95" customWidth="1"/>
    <col min="815" max="815" width="8" style="95" customWidth="1"/>
    <col min="816" max="816" width="5.25" style="95" customWidth="1"/>
    <col min="817" max="817" width="0.625" style="95" customWidth="1"/>
    <col min="818" max="818" width="6.25" style="95" customWidth="1"/>
    <col min="819" max="819" width="5.75" style="95" customWidth="1"/>
    <col min="820" max="820" width="0.625" style="95" customWidth="1"/>
    <col min="821" max="821" width="6.875" style="95" customWidth="1"/>
    <col min="822" max="822" width="9.25" style="95" customWidth="1"/>
    <col min="823" max="823" width="0.625" style="95" customWidth="1"/>
    <col min="824" max="1065" width="10" style="95"/>
    <col min="1066" max="1066" width="0.625" style="95" customWidth="1"/>
    <col min="1067" max="1067" width="13.25" style="95" customWidth="1"/>
    <col min="1068" max="1068" width="0.625" style="95" customWidth="1"/>
    <col min="1069" max="1069" width="49.125" style="95" customWidth="1"/>
    <col min="1070" max="1070" width="0.625" style="95" customWidth="1"/>
    <col min="1071" max="1071" width="8" style="95" customWidth="1"/>
    <col min="1072" max="1072" width="5.25" style="95" customWidth="1"/>
    <col min="1073" max="1073" width="0.625" style="95" customWidth="1"/>
    <col min="1074" max="1074" width="6.25" style="95" customWidth="1"/>
    <col min="1075" max="1075" width="5.75" style="95" customWidth="1"/>
    <col min="1076" max="1076" width="0.625" style="95" customWidth="1"/>
    <col min="1077" max="1077" width="6.875" style="95" customWidth="1"/>
    <col min="1078" max="1078" width="9.25" style="95" customWidth="1"/>
    <col min="1079" max="1079" width="0.625" style="95" customWidth="1"/>
    <col min="1080" max="1321" width="10" style="95"/>
    <col min="1322" max="1322" width="0.625" style="95" customWidth="1"/>
    <col min="1323" max="1323" width="13.25" style="95" customWidth="1"/>
    <col min="1324" max="1324" width="0.625" style="95" customWidth="1"/>
    <col min="1325" max="1325" width="49.125" style="95" customWidth="1"/>
    <col min="1326" max="1326" width="0.625" style="95" customWidth="1"/>
    <col min="1327" max="1327" width="8" style="95" customWidth="1"/>
    <col min="1328" max="1328" width="5.25" style="95" customWidth="1"/>
    <col min="1329" max="1329" width="0.625" style="95" customWidth="1"/>
    <col min="1330" max="1330" width="6.25" style="95" customWidth="1"/>
    <col min="1331" max="1331" width="5.75" style="95" customWidth="1"/>
    <col min="1332" max="1332" width="0.625" style="95" customWidth="1"/>
    <col min="1333" max="1333" width="6.875" style="95" customWidth="1"/>
    <col min="1334" max="1334" width="9.25" style="95" customWidth="1"/>
    <col min="1335" max="1335" width="0.625" style="95" customWidth="1"/>
    <col min="1336" max="1577" width="10" style="95"/>
    <col min="1578" max="1578" width="0.625" style="95" customWidth="1"/>
    <col min="1579" max="1579" width="13.25" style="95" customWidth="1"/>
    <col min="1580" max="1580" width="0.625" style="95" customWidth="1"/>
    <col min="1581" max="1581" width="49.125" style="95" customWidth="1"/>
    <col min="1582" max="1582" width="0.625" style="95" customWidth="1"/>
    <col min="1583" max="1583" width="8" style="95" customWidth="1"/>
    <col min="1584" max="1584" width="5.25" style="95" customWidth="1"/>
    <col min="1585" max="1585" width="0.625" style="95" customWidth="1"/>
    <col min="1586" max="1586" width="6.25" style="95" customWidth="1"/>
    <col min="1587" max="1587" width="5.75" style="95" customWidth="1"/>
    <col min="1588" max="1588" width="0.625" style="95" customWidth="1"/>
    <col min="1589" max="1589" width="6.875" style="95" customWidth="1"/>
    <col min="1590" max="1590" width="9.25" style="95" customWidth="1"/>
    <col min="1591" max="1591" width="0.625" style="95" customWidth="1"/>
    <col min="1592" max="1833" width="10" style="95"/>
    <col min="1834" max="1834" width="0.625" style="95" customWidth="1"/>
    <col min="1835" max="1835" width="13.25" style="95" customWidth="1"/>
    <col min="1836" max="1836" width="0.625" style="95" customWidth="1"/>
    <col min="1837" max="1837" width="49.125" style="95" customWidth="1"/>
    <col min="1838" max="1838" width="0.625" style="95" customWidth="1"/>
    <col min="1839" max="1839" width="8" style="95" customWidth="1"/>
    <col min="1840" max="1840" width="5.25" style="95" customWidth="1"/>
    <col min="1841" max="1841" width="0.625" style="95" customWidth="1"/>
    <col min="1842" max="1842" width="6.25" style="95" customWidth="1"/>
    <col min="1843" max="1843" width="5.75" style="95" customWidth="1"/>
    <col min="1844" max="1844" width="0.625" style="95" customWidth="1"/>
    <col min="1845" max="1845" width="6.875" style="95" customWidth="1"/>
    <col min="1846" max="1846" width="9.25" style="95" customWidth="1"/>
    <col min="1847" max="1847" width="0.625" style="95" customWidth="1"/>
    <col min="1848" max="2089" width="10" style="95"/>
    <col min="2090" max="2090" width="0.625" style="95" customWidth="1"/>
    <col min="2091" max="2091" width="13.25" style="95" customWidth="1"/>
    <col min="2092" max="2092" width="0.625" style="95" customWidth="1"/>
    <col min="2093" max="2093" width="49.125" style="95" customWidth="1"/>
    <col min="2094" max="2094" width="0.625" style="95" customWidth="1"/>
    <col min="2095" max="2095" width="8" style="95" customWidth="1"/>
    <col min="2096" max="2096" width="5.25" style="95" customWidth="1"/>
    <col min="2097" max="2097" width="0.625" style="95" customWidth="1"/>
    <col min="2098" max="2098" width="6.25" style="95" customWidth="1"/>
    <col min="2099" max="2099" width="5.75" style="95" customWidth="1"/>
    <col min="2100" max="2100" width="0.625" style="95" customWidth="1"/>
    <col min="2101" max="2101" width="6.875" style="95" customWidth="1"/>
    <col min="2102" max="2102" width="9.25" style="95" customWidth="1"/>
    <col min="2103" max="2103" width="0.625" style="95" customWidth="1"/>
    <col min="2104" max="2345" width="10" style="95"/>
    <col min="2346" max="2346" width="0.625" style="95" customWidth="1"/>
    <col min="2347" max="2347" width="13.25" style="95" customWidth="1"/>
    <col min="2348" max="2348" width="0.625" style="95" customWidth="1"/>
    <col min="2349" max="2349" width="49.125" style="95" customWidth="1"/>
    <col min="2350" max="2350" width="0.625" style="95" customWidth="1"/>
    <col min="2351" max="2351" width="8" style="95" customWidth="1"/>
    <col min="2352" max="2352" width="5.25" style="95" customWidth="1"/>
    <col min="2353" max="2353" width="0.625" style="95" customWidth="1"/>
    <col min="2354" max="2354" width="6.25" style="95" customWidth="1"/>
    <col min="2355" max="2355" width="5.75" style="95" customWidth="1"/>
    <col min="2356" max="2356" width="0.625" style="95" customWidth="1"/>
    <col min="2357" max="2357" width="6.875" style="95" customWidth="1"/>
    <col min="2358" max="2358" width="9.25" style="95" customWidth="1"/>
    <col min="2359" max="2359" width="0.625" style="95" customWidth="1"/>
    <col min="2360" max="2601" width="10" style="95"/>
    <col min="2602" max="2602" width="0.625" style="95" customWidth="1"/>
    <col min="2603" max="2603" width="13.25" style="95" customWidth="1"/>
    <col min="2604" max="2604" width="0.625" style="95" customWidth="1"/>
    <col min="2605" max="2605" width="49.125" style="95" customWidth="1"/>
    <col min="2606" max="2606" width="0.625" style="95" customWidth="1"/>
    <col min="2607" max="2607" width="8" style="95" customWidth="1"/>
    <col min="2608" max="2608" width="5.25" style="95" customWidth="1"/>
    <col min="2609" max="2609" width="0.625" style="95" customWidth="1"/>
    <col min="2610" max="2610" width="6.25" style="95" customWidth="1"/>
    <col min="2611" max="2611" width="5.75" style="95" customWidth="1"/>
    <col min="2612" max="2612" width="0.625" style="95" customWidth="1"/>
    <col min="2613" max="2613" width="6.875" style="95" customWidth="1"/>
    <col min="2614" max="2614" width="9.25" style="95" customWidth="1"/>
    <col min="2615" max="2615" width="0.625" style="95" customWidth="1"/>
    <col min="2616" max="2857" width="10" style="95"/>
    <col min="2858" max="2858" width="0.625" style="95" customWidth="1"/>
    <col min="2859" max="2859" width="13.25" style="95" customWidth="1"/>
    <col min="2860" max="2860" width="0.625" style="95" customWidth="1"/>
    <col min="2861" max="2861" width="49.125" style="95" customWidth="1"/>
    <col min="2862" max="2862" width="0.625" style="95" customWidth="1"/>
    <col min="2863" max="2863" width="8" style="95" customWidth="1"/>
    <col min="2864" max="2864" width="5.25" style="95" customWidth="1"/>
    <col min="2865" max="2865" width="0.625" style="95" customWidth="1"/>
    <col min="2866" max="2866" width="6.25" style="95" customWidth="1"/>
    <col min="2867" max="2867" width="5.75" style="95" customWidth="1"/>
    <col min="2868" max="2868" width="0.625" style="95" customWidth="1"/>
    <col min="2869" max="2869" width="6.875" style="95" customWidth="1"/>
    <col min="2870" max="2870" width="9.25" style="95" customWidth="1"/>
    <col min="2871" max="2871" width="0.625" style="95" customWidth="1"/>
    <col min="2872" max="3113" width="10" style="95"/>
    <col min="3114" max="3114" width="0.625" style="95" customWidth="1"/>
    <col min="3115" max="3115" width="13.25" style="95" customWidth="1"/>
    <col min="3116" max="3116" width="0.625" style="95" customWidth="1"/>
    <col min="3117" max="3117" width="49.125" style="95" customWidth="1"/>
    <col min="3118" max="3118" width="0.625" style="95" customWidth="1"/>
    <col min="3119" max="3119" width="8" style="95" customWidth="1"/>
    <col min="3120" max="3120" width="5.25" style="95" customWidth="1"/>
    <col min="3121" max="3121" width="0.625" style="95" customWidth="1"/>
    <col min="3122" max="3122" width="6.25" style="95" customWidth="1"/>
    <col min="3123" max="3123" width="5.75" style="95" customWidth="1"/>
    <col min="3124" max="3124" width="0.625" style="95" customWidth="1"/>
    <col min="3125" max="3125" width="6.875" style="95" customWidth="1"/>
    <col min="3126" max="3126" width="9.25" style="95" customWidth="1"/>
    <col min="3127" max="3127" width="0.625" style="95" customWidth="1"/>
    <col min="3128" max="3369" width="10" style="95"/>
    <col min="3370" max="3370" width="0.625" style="95" customWidth="1"/>
    <col min="3371" max="3371" width="13.25" style="95" customWidth="1"/>
    <col min="3372" max="3372" width="0.625" style="95" customWidth="1"/>
    <col min="3373" max="3373" width="49.125" style="95" customWidth="1"/>
    <col min="3374" max="3374" width="0.625" style="95" customWidth="1"/>
    <col min="3375" max="3375" width="8" style="95" customWidth="1"/>
    <col min="3376" max="3376" width="5.25" style="95" customWidth="1"/>
    <col min="3377" max="3377" width="0.625" style="95" customWidth="1"/>
    <col min="3378" max="3378" width="6.25" style="95" customWidth="1"/>
    <col min="3379" max="3379" width="5.75" style="95" customWidth="1"/>
    <col min="3380" max="3380" width="0.625" style="95" customWidth="1"/>
    <col min="3381" max="3381" width="6.875" style="95" customWidth="1"/>
    <col min="3382" max="3382" width="9.25" style="95" customWidth="1"/>
    <col min="3383" max="3383" width="0.625" style="95" customWidth="1"/>
    <col min="3384" max="3625" width="10" style="95"/>
    <col min="3626" max="3626" width="0.625" style="95" customWidth="1"/>
    <col min="3627" max="3627" width="13.25" style="95" customWidth="1"/>
    <col min="3628" max="3628" width="0.625" style="95" customWidth="1"/>
    <col min="3629" max="3629" width="49.125" style="95" customWidth="1"/>
    <col min="3630" max="3630" width="0.625" style="95" customWidth="1"/>
    <col min="3631" max="3631" width="8" style="95" customWidth="1"/>
    <col min="3632" max="3632" width="5.25" style="95" customWidth="1"/>
    <col min="3633" max="3633" width="0.625" style="95" customWidth="1"/>
    <col min="3634" max="3634" width="6.25" style="95" customWidth="1"/>
    <col min="3635" max="3635" width="5.75" style="95" customWidth="1"/>
    <col min="3636" max="3636" width="0.625" style="95" customWidth="1"/>
    <col min="3637" max="3637" width="6.875" style="95" customWidth="1"/>
    <col min="3638" max="3638" width="9.25" style="95" customWidth="1"/>
    <col min="3639" max="3639" width="0.625" style="95" customWidth="1"/>
    <col min="3640" max="3881" width="10" style="95"/>
    <col min="3882" max="3882" width="0.625" style="95" customWidth="1"/>
    <col min="3883" max="3883" width="13.25" style="95" customWidth="1"/>
    <col min="3884" max="3884" width="0.625" style="95" customWidth="1"/>
    <col min="3885" max="3885" width="49.125" style="95" customWidth="1"/>
    <col min="3886" max="3886" width="0.625" style="95" customWidth="1"/>
    <col min="3887" max="3887" width="8" style="95" customWidth="1"/>
    <col min="3888" max="3888" width="5.25" style="95" customWidth="1"/>
    <col min="3889" max="3889" width="0.625" style="95" customWidth="1"/>
    <col min="3890" max="3890" width="6.25" style="95" customWidth="1"/>
    <col min="3891" max="3891" width="5.75" style="95" customWidth="1"/>
    <col min="3892" max="3892" width="0.625" style="95" customWidth="1"/>
    <col min="3893" max="3893" width="6.875" style="95" customWidth="1"/>
    <col min="3894" max="3894" width="9.25" style="95" customWidth="1"/>
    <col min="3895" max="3895" width="0.625" style="95" customWidth="1"/>
    <col min="3896" max="4137" width="10" style="95"/>
    <col min="4138" max="4138" width="0.625" style="95" customWidth="1"/>
    <col min="4139" max="4139" width="13.25" style="95" customWidth="1"/>
    <col min="4140" max="4140" width="0.625" style="95" customWidth="1"/>
    <col min="4141" max="4141" width="49.125" style="95" customWidth="1"/>
    <col min="4142" max="4142" width="0.625" style="95" customWidth="1"/>
    <col min="4143" max="4143" width="8" style="95" customWidth="1"/>
    <col min="4144" max="4144" width="5.25" style="95" customWidth="1"/>
    <col min="4145" max="4145" width="0.625" style="95" customWidth="1"/>
    <col min="4146" max="4146" width="6.25" style="95" customWidth="1"/>
    <col min="4147" max="4147" width="5.75" style="95" customWidth="1"/>
    <col min="4148" max="4148" width="0.625" style="95" customWidth="1"/>
    <col min="4149" max="4149" width="6.875" style="95" customWidth="1"/>
    <col min="4150" max="4150" width="9.25" style="95" customWidth="1"/>
    <col min="4151" max="4151" width="0.625" style="95" customWidth="1"/>
    <col min="4152" max="4393" width="10" style="95"/>
    <col min="4394" max="4394" width="0.625" style="95" customWidth="1"/>
    <col min="4395" max="4395" width="13.25" style="95" customWidth="1"/>
    <col min="4396" max="4396" width="0.625" style="95" customWidth="1"/>
    <col min="4397" max="4397" width="49.125" style="95" customWidth="1"/>
    <col min="4398" max="4398" width="0.625" style="95" customWidth="1"/>
    <col min="4399" max="4399" width="8" style="95" customWidth="1"/>
    <col min="4400" max="4400" width="5.25" style="95" customWidth="1"/>
    <col min="4401" max="4401" width="0.625" style="95" customWidth="1"/>
    <col min="4402" max="4402" width="6.25" style="95" customWidth="1"/>
    <col min="4403" max="4403" width="5.75" style="95" customWidth="1"/>
    <col min="4404" max="4404" width="0.625" style="95" customWidth="1"/>
    <col min="4405" max="4405" width="6.875" style="95" customWidth="1"/>
    <col min="4406" max="4406" width="9.25" style="95" customWidth="1"/>
    <col min="4407" max="4407" width="0.625" style="95" customWidth="1"/>
    <col min="4408" max="4649" width="10" style="95"/>
    <col min="4650" max="4650" width="0.625" style="95" customWidth="1"/>
    <col min="4651" max="4651" width="13.25" style="95" customWidth="1"/>
    <col min="4652" max="4652" width="0.625" style="95" customWidth="1"/>
    <col min="4653" max="4653" width="49.125" style="95" customWidth="1"/>
    <col min="4654" max="4654" width="0.625" style="95" customWidth="1"/>
    <col min="4655" max="4655" width="8" style="95" customWidth="1"/>
    <col min="4656" max="4656" width="5.25" style="95" customWidth="1"/>
    <col min="4657" max="4657" width="0.625" style="95" customWidth="1"/>
    <col min="4658" max="4658" width="6.25" style="95" customWidth="1"/>
    <col min="4659" max="4659" width="5.75" style="95" customWidth="1"/>
    <col min="4660" max="4660" width="0.625" style="95" customWidth="1"/>
    <col min="4661" max="4661" width="6.875" style="95" customWidth="1"/>
    <col min="4662" max="4662" width="9.25" style="95" customWidth="1"/>
    <col min="4663" max="4663" width="0.625" style="95" customWidth="1"/>
    <col min="4664" max="4905" width="10" style="95"/>
    <col min="4906" max="4906" width="0.625" style="95" customWidth="1"/>
    <col min="4907" max="4907" width="13.25" style="95" customWidth="1"/>
    <col min="4908" max="4908" width="0.625" style="95" customWidth="1"/>
    <col min="4909" max="4909" width="49.125" style="95" customWidth="1"/>
    <col min="4910" max="4910" width="0.625" style="95" customWidth="1"/>
    <col min="4911" max="4911" width="8" style="95" customWidth="1"/>
    <col min="4912" max="4912" width="5.25" style="95" customWidth="1"/>
    <col min="4913" max="4913" width="0.625" style="95" customWidth="1"/>
    <col min="4914" max="4914" width="6.25" style="95" customWidth="1"/>
    <col min="4915" max="4915" width="5.75" style="95" customWidth="1"/>
    <col min="4916" max="4916" width="0.625" style="95" customWidth="1"/>
    <col min="4917" max="4917" width="6.875" style="95" customWidth="1"/>
    <col min="4918" max="4918" width="9.25" style="95" customWidth="1"/>
    <col min="4919" max="4919" width="0.625" style="95" customWidth="1"/>
    <col min="4920" max="5161" width="10" style="95"/>
    <col min="5162" max="5162" width="0.625" style="95" customWidth="1"/>
    <col min="5163" max="5163" width="13.25" style="95" customWidth="1"/>
    <col min="5164" max="5164" width="0.625" style="95" customWidth="1"/>
    <col min="5165" max="5165" width="49.125" style="95" customWidth="1"/>
    <col min="5166" max="5166" width="0.625" style="95" customWidth="1"/>
    <col min="5167" max="5167" width="8" style="95" customWidth="1"/>
    <col min="5168" max="5168" width="5.25" style="95" customWidth="1"/>
    <col min="5169" max="5169" width="0.625" style="95" customWidth="1"/>
    <col min="5170" max="5170" width="6.25" style="95" customWidth="1"/>
    <col min="5171" max="5171" width="5.75" style="95" customWidth="1"/>
    <col min="5172" max="5172" width="0.625" style="95" customWidth="1"/>
    <col min="5173" max="5173" width="6.875" style="95" customWidth="1"/>
    <col min="5174" max="5174" width="9.25" style="95" customWidth="1"/>
    <col min="5175" max="5175" width="0.625" style="95" customWidth="1"/>
    <col min="5176" max="5417" width="10" style="95"/>
    <col min="5418" max="5418" width="0.625" style="95" customWidth="1"/>
    <col min="5419" max="5419" width="13.25" style="95" customWidth="1"/>
    <col min="5420" max="5420" width="0.625" style="95" customWidth="1"/>
    <col min="5421" max="5421" width="49.125" style="95" customWidth="1"/>
    <col min="5422" max="5422" width="0.625" style="95" customWidth="1"/>
    <col min="5423" max="5423" width="8" style="95" customWidth="1"/>
    <col min="5424" max="5424" width="5.25" style="95" customWidth="1"/>
    <col min="5425" max="5425" width="0.625" style="95" customWidth="1"/>
    <col min="5426" max="5426" width="6.25" style="95" customWidth="1"/>
    <col min="5427" max="5427" width="5.75" style="95" customWidth="1"/>
    <col min="5428" max="5428" width="0.625" style="95" customWidth="1"/>
    <col min="5429" max="5429" width="6.875" style="95" customWidth="1"/>
    <col min="5430" max="5430" width="9.25" style="95" customWidth="1"/>
    <col min="5431" max="5431" width="0.625" style="95" customWidth="1"/>
    <col min="5432" max="5673" width="10" style="95"/>
    <col min="5674" max="5674" width="0.625" style="95" customWidth="1"/>
    <col min="5675" max="5675" width="13.25" style="95" customWidth="1"/>
    <col min="5676" max="5676" width="0.625" style="95" customWidth="1"/>
    <col min="5677" max="5677" width="49.125" style="95" customWidth="1"/>
    <col min="5678" max="5678" width="0.625" style="95" customWidth="1"/>
    <col min="5679" max="5679" width="8" style="95" customWidth="1"/>
    <col min="5680" max="5680" width="5.25" style="95" customWidth="1"/>
    <col min="5681" max="5681" width="0.625" style="95" customWidth="1"/>
    <col min="5682" max="5682" width="6.25" style="95" customWidth="1"/>
    <col min="5683" max="5683" width="5.75" style="95" customWidth="1"/>
    <col min="5684" max="5684" width="0.625" style="95" customWidth="1"/>
    <col min="5685" max="5685" width="6.875" style="95" customWidth="1"/>
    <col min="5686" max="5686" width="9.25" style="95" customWidth="1"/>
    <col min="5687" max="5687" width="0.625" style="95" customWidth="1"/>
    <col min="5688" max="5929" width="10" style="95"/>
    <col min="5930" max="5930" width="0.625" style="95" customWidth="1"/>
    <col min="5931" max="5931" width="13.25" style="95" customWidth="1"/>
    <col min="5932" max="5932" width="0.625" style="95" customWidth="1"/>
    <col min="5933" max="5933" width="49.125" style="95" customWidth="1"/>
    <col min="5934" max="5934" width="0.625" style="95" customWidth="1"/>
    <col min="5935" max="5935" width="8" style="95" customWidth="1"/>
    <col min="5936" max="5936" width="5.25" style="95" customWidth="1"/>
    <col min="5937" max="5937" width="0.625" style="95" customWidth="1"/>
    <col min="5938" max="5938" width="6.25" style="95" customWidth="1"/>
    <col min="5939" max="5939" width="5.75" style="95" customWidth="1"/>
    <col min="5940" max="5940" width="0.625" style="95" customWidth="1"/>
    <col min="5941" max="5941" width="6.875" style="95" customWidth="1"/>
    <col min="5942" max="5942" width="9.25" style="95" customWidth="1"/>
    <col min="5943" max="5943" width="0.625" style="95" customWidth="1"/>
    <col min="5944" max="6185" width="10" style="95"/>
    <col min="6186" max="6186" width="0.625" style="95" customWidth="1"/>
    <col min="6187" max="6187" width="13.25" style="95" customWidth="1"/>
    <col min="6188" max="6188" width="0.625" style="95" customWidth="1"/>
    <col min="6189" max="6189" width="49.125" style="95" customWidth="1"/>
    <col min="6190" max="6190" width="0.625" style="95" customWidth="1"/>
    <col min="6191" max="6191" width="8" style="95" customWidth="1"/>
    <col min="6192" max="6192" width="5.25" style="95" customWidth="1"/>
    <col min="6193" max="6193" width="0.625" style="95" customWidth="1"/>
    <col min="6194" max="6194" width="6.25" style="95" customWidth="1"/>
    <col min="6195" max="6195" width="5.75" style="95" customWidth="1"/>
    <col min="6196" max="6196" width="0.625" style="95" customWidth="1"/>
    <col min="6197" max="6197" width="6.875" style="95" customWidth="1"/>
    <col min="6198" max="6198" width="9.25" style="95" customWidth="1"/>
    <col min="6199" max="6199" width="0.625" style="95" customWidth="1"/>
    <col min="6200" max="6441" width="10" style="95"/>
    <col min="6442" max="6442" width="0.625" style="95" customWidth="1"/>
    <col min="6443" max="6443" width="13.25" style="95" customWidth="1"/>
    <col min="6444" max="6444" width="0.625" style="95" customWidth="1"/>
    <col min="6445" max="6445" width="49.125" style="95" customWidth="1"/>
    <col min="6446" max="6446" width="0.625" style="95" customWidth="1"/>
    <col min="6447" max="6447" width="8" style="95" customWidth="1"/>
    <col min="6448" max="6448" width="5.25" style="95" customWidth="1"/>
    <col min="6449" max="6449" width="0.625" style="95" customWidth="1"/>
    <col min="6450" max="6450" width="6.25" style="95" customWidth="1"/>
    <col min="6451" max="6451" width="5.75" style="95" customWidth="1"/>
    <col min="6452" max="6452" width="0.625" style="95" customWidth="1"/>
    <col min="6453" max="6453" width="6.875" style="95" customWidth="1"/>
    <col min="6454" max="6454" width="9.25" style="95" customWidth="1"/>
    <col min="6455" max="6455" width="0.625" style="95" customWidth="1"/>
    <col min="6456" max="6697" width="10" style="95"/>
    <col min="6698" max="6698" width="0.625" style="95" customWidth="1"/>
    <col min="6699" max="6699" width="13.25" style="95" customWidth="1"/>
    <col min="6700" max="6700" width="0.625" style="95" customWidth="1"/>
    <col min="6701" max="6701" width="49.125" style="95" customWidth="1"/>
    <col min="6702" max="6702" width="0.625" style="95" customWidth="1"/>
    <col min="6703" max="6703" width="8" style="95" customWidth="1"/>
    <col min="6704" max="6704" width="5.25" style="95" customWidth="1"/>
    <col min="6705" max="6705" width="0.625" style="95" customWidth="1"/>
    <col min="6706" max="6706" width="6.25" style="95" customWidth="1"/>
    <col min="6707" max="6707" width="5.75" style="95" customWidth="1"/>
    <col min="6708" max="6708" width="0.625" style="95" customWidth="1"/>
    <col min="6709" max="6709" width="6.875" style="95" customWidth="1"/>
    <col min="6710" max="6710" width="9.25" style="95" customWidth="1"/>
    <col min="6711" max="6711" width="0.625" style="95" customWidth="1"/>
    <col min="6712" max="6953" width="10" style="95"/>
    <col min="6954" max="6954" width="0.625" style="95" customWidth="1"/>
    <col min="6955" max="6955" width="13.25" style="95" customWidth="1"/>
    <col min="6956" max="6956" width="0.625" style="95" customWidth="1"/>
    <col min="6957" max="6957" width="49.125" style="95" customWidth="1"/>
    <col min="6958" max="6958" width="0.625" style="95" customWidth="1"/>
    <col min="6959" max="6959" width="8" style="95" customWidth="1"/>
    <col min="6960" max="6960" width="5.25" style="95" customWidth="1"/>
    <col min="6961" max="6961" width="0.625" style="95" customWidth="1"/>
    <col min="6962" max="6962" width="6.25" style="95" customWidth="1"/>
    <col min="6963" max="6963" width="5.75" style="95" customWidth="1"/>
    <col min="6964" max="6964" width="0.625" style="95" customWidth="1"/>
    <col min="6965" max="6965" width="6.875" style="95" customWidth="1"/>
    <col min="6966" max="6966" width="9.25" style="95" customWidth="1"/>
    <col min="6967" max="6967" width="0.625" style="95" customWidth="1"/>
    <col min="6968" max="7209" width="10" style="95"/>
    <col min="7210" max="7210" width="0.625" style="95" customWidth="1"/>
    <col min="7211" max="7211" width="13.25" style="95" customWidth="1"/>
    <col min="7212" max="7212" width="0.625" style="95" customWidth="1"/>
    <col min="7213" max="7213" width="49.125" style="95" customWidth="1"/>
    <col min="7214" max="7214" width="0.625" style="95" customWidth="1"/>
    <col min="7215" max="7215" width="8" style="95" customWidth="1"/>
    <col min="7216" max="7216" width="5.25" style="95" customWidth="1"/>
    <col min="7217" max="7217" width="0.625" style="95" customWidth="1"/>
    <col min="7218" max="7218" width="6.25" style="95" customWidth="1"/>
    <col min="7219" max="7219" width="5.75" style="95" customWidth="1"/>
    <col min="7220" max="7220" width="0.625" style="95" customWidth="1"/>
    <col min="7221" max="7221" width="6.875" style="95" customWidth="1"/>
    <col min="7222" max="7222" width="9.25" style="95" customWidth="1"/>
    <col min="7223" max="7223" width="0.625" style="95" customWidth="1"/>
    <col min="7224" max="7465" width="10" style="95"/>
    <col min="7466" max="7466" width="0.625" style="95" customWidth="1"/>
    <col min="7467" max="7467" width="13.25" style="95" customWidth="1"/>
    <col min="7468" max="7468" width="0.625" style="95" customWidth="1"/>
    <col min="7469" max="7469" width="49.125" style="95" customWidth="1"/>
    <col min="7470" max="7470" width="0.625" style="95" customWidth="1"/>
    <col min="7471" max="7471" width="8" style="95" customWidth="1"/>
    <col min="7472" max="7472" width="5.25" style="95" customWidth="1"/>
    <col min="7473" max="7473" width="0.625" style="95" customWidth="1"/>
    <col min="7474" max="7474" width="6.25" style="95" customWidth="1"/>
    <col min="7475" max="7475" width="5.75" style="95" customWidth="1"/>
    <col min="7476" max="7476" width="0.625" style="95" customWidth="1"/>
    <col min="7477" max="7477" width="6.875" style="95" customWidth="1"/>
    <col min="7478" max="7478" width="9.25" style="95" customWidth="1"/>
    <col min="7479" max="7479" width="0.625" style="95" customWidth="1"/>
    <col min="7480" max="7721" width="10" style="95"/>
    <col min="7722" max="7722" width="0.625" style="95" customWidth="1"/>
    <col min="7723" max="7723" width="13.25" style="95" customWidth="1"/>
    <col min="7724" max="7724" width="0.625" style="95" customWidth="1"/>
    <col min="7725" max="7725" width="49.125" style="95" customWidth="1"/>
    <col min="7726" max="7726" width="0.625" style="95" customWidth="1"/>
    <col min="7727" max="7727" width="8" style="95" customWidth="1"/>
    <col min="7728" max="7728" width="5.25" style="95" customWidth="1"/>
    <col min="7729" max="7729" width="0.625" style="95" customWidth="1"/>
    <col min="7730" max="7730" width="6.25" style="95" customWidth="1"/>
    <col min="7731" max="7731" width="5.75" style="95" customWidth="1"/>
    <col min="7732" max="7732" width="0.625" style="95" customWidth="1"/>
    <col min="7733" max="7733" width="6.875" style="95" customWidth="1"/>
    <col min="7734" max="7734" width="9.25" style="95" customWidth="1"/>
    <col min="7735" max="7735" width="0.625" style="95" customWidth="1"/>
    <col min="7736" max="7977" width="10" style="95"/>
    <col min="7978" max="7978" width="0.625" style="95" customWidth="1"/>
    <col min="7979" max="7979" width="13.25" style="95" customWidth="1"/>
    <col min="7980" max="7980" width="0.625" style="95" customWidth="1"/>
    <col min="7981" max="7981" width="49.125" style="95" customWidth="1"/>
    <col min="7982" max="7982" width="0.625" style="95" customWidth="1"/>
    <col min="7983" max="7983" width="8" style="95" customWidth="1"/>
    <col min="7984" max="7984" width="5.25" style="95" customWidth="1"/>
    <col min="7985" max="7985" width="0.625" style="95" customWidth="1"/>
    <col min="7986" max="7986" width="6.25" style="95" customWidth="1"/>
    <col min="7987" max="7987" width="5.75" style="95" customWidth="1"/>
    <col min="7988" max="7988" width="0.625" style="95" customWidth="1"/>
    <col min="7989" max="7989" width="6.875" style="95" customWidth="1"/>
    <col min="7990" max="7990" width="9.25" style="95" customWidth="1"/>
    <col min="7991" max="7991" width="0.625" style="95" customWidth="1"/>
    <col min="7992" max="8233" width="10" style="95"/>
    <col min="8234" max="8234" width="0.625" style="95" customWidth="1"/>
    <col min="8235" max="8235" width="13.25" style="95" customWidth="1"/>
    <col min="8236" max="8236" width="0.625" style="95" customWidth="1"/>
    <col min="8237" max="8237" width="49.125" style="95" customWidth="1"/>
    <col min="8238" max="8238" width="0.625" style="95" customWidth="1"/>
    <col min="8239" max="8239" width="8" style="95" customWidth="1"/>
    <col min="8240" max="8240" width="5.25" style="95" customWidth="1"/>
    <col min="8241" max="8241" width="0.625" style="95" customWidth="1"/>
    <col min="8242" max="8242" width="6.25" style="95" customWidth="1"/>
    <col min="8243" max="8243" width="5.75" style="95" customWidth="1"/>
    <col min="8244" max="8244" width="0.625" style="95" customWidth="1"/>
    <col min="8245" max="8245" width="6.875" style="95" customWidth="1"/>
    <col min="8246" max="8246" width="9.25" style="95" customWidth="1"/>
    <col min="8247" max="8247" width="0.625" style="95" customWidth="1"/>
    <col min="8248" max="8489" width="10" style="95"/>
    <col min="8490" max="8490" width="0.625" style="95" customWidth="1"/>
    <col min="8491" max="8491" width="13.25" style="95" customWidth="1"/>
    <col min="8492" max="8492" width="0.625" style="95" customWidth="1"/>
    <col min="8493" max="8493" width="49.125" style="95" customWidth="1"/>
    <col min="8494" max="8494" width="0.625" style="95" customWidth="1"/>
    <col min="8495" max="8495" width="8" style="95" customWidth="1"/>
    <col min="8496" max="8496" width="5.25" style="95" customWidth="1"/>
    <col min="8497" max="8497" width="0.625" style="95" customWidth="1"/>
    <col min="8498" max="8498" width="6.25" style="95" customWidth="1"/>
    <col min="8499" max="8499" width="5.75" style="95" customWidth="1"/>
    <col min="8500" max="8500" width="0.625" style="95" customWidth="1"/>
    <col min="8501" max="8501" width="6.875" style="95" customWidth="1"/>
    <col min="8502" max="8502" width="9.25" style="95" customWidth="1"/>
    <col min="8503" max="8503" width="0.625" style="95" customWidth="1"/>
    <col min="8504" max="8745" width="10" style="95"/>
    <col min="8746" max="8746" width="0.625" style="95" customWidth="1"/>
    <col min="8747" max="8747" width="13.25" style="95" customWidth="1"/>
    <col min="8748" max="8748" width="0.625" style="95" customWidth="1"/>
    <col min="8749" max="8749" width="49.125" style="95" customWidth="1"/>
    <col min="8750" max="8750" width="0.625" style="95" customWidth="1"/>
    <col min="8751" max="8751" width="8" style="95" customWidth="1"/>
    <col min="8752" max="8752" width="5.25" style="95" customWidth="1"/>
    <col min="8753" max="8753" width="0.625" style="95" customWidth="1"/>
    <col min="8754" max="8754" width="6.25" style="95" customWidth="1"/>
    <col min="8755" max="8755" width="5.75" style="95" customWidth="1"/>
    <col min="8756" max="8756" width="0.625" style="95" customWidth="1"/>
    <col min="8757" max="8757" width="6.875" style="95" customWidth="1"/>
    <col min="8758" max="8758" width="9.25" style="95" customWidth="1"/>
    <col min="8759" max="8759" width="0.625" style="95" customWidth="1"/>
    <col min="8760" max="9001" width="10" style="95"/>
    <col min="9002" max="9002" width="0.625" style="95" customWidth="1"/>
    <col min="9003" max="9003" width="13.25" style="95" customWidth="1"/>
    <col min="9004" max="9004" width="0.625" style="95" customWidth="1"/>
    <col min="9005" max="9005" width="49.125" style="95" customWidth="1"/>
    <col min="9006" max="9006" width="0.625" style="95" customWidth="1"/>
    <col min="9007" max="9007" width="8" style="95" customWidth="1"/>
    <col min="9008" max="9008" width="5.25" style="95" customWidth="1"/>
    <col min="9009" max="9009" width="0.625" style="95" customWidth="1"/>
    <col min="9010" max="9010" width="6.25" style="95" customWidth="1"/>
    <col min="9011" max="9011" width="5.75" style="95" customWidth="1"/>
    <col min="9012" max="9012" width="0.625" style="95" customWidth="1"/>
    <col min="9013" max="9013" width="6.875" style="95" customWidth="1"/>
    <col min="9014" max="9014" width="9.25" style="95" customWidth="1"/>
    <col min="9015" max="9015" width="0.625" style="95" customWidth="1"/>
    <col min="9016" max="9257" width="10" style="95"/>
    <col min="9258" max="9258" width="0.625" style="95" customWidth="1"/>
    <col min="9259" max="9259" width="13.25" style="95" customWidth="1"/>
    <col min="9260" max="9260" width="0.625" style="95" customWidth="1"/>
    <col min="9261" max="9261" width="49.125" style="95" customWidth="1"/>
    <col min="9262" max="9262" width="0.625" style="95" customWidth="1"/>
    <col min="9263" max="9263" width="8" style="95" customWidth="1"/>
    <col min="9264" max="9264" width="5.25" style="95" customWidth="1"/>
    <col min="9265" max="9265" width="0.625" style="95" customWidth="1"/>
    <col min="9266" max="9266" width="6.25" style="95" customWidth="1"/>
    <col min="9267" max="9267" width="5.75" style="95" customWidth="1"/>
    <col min="9268" max="9268" width="0.625" style="95" customWidth="1"/>
    <col min="9269" max="9269" width="6.875" style="95" customWidth="1"/>
    <col min="9270" max="9270" width="9.25" style="95" customWidth="1"/>
    <col min="9271" max="9271" width="0.625" style="95" customWidth="1"/>
    <col min="9272" max="9513" width="10" style="95"/>
    <col min="9514" max="9514" width="0.625" style="95" customWidth="1"/>
    <col min="9515" max="9515" width="13.25" style="95" customWidth="1"/>
    <col min="9516" max="9516" width="0.625" style="95" customWidth="1"/>
    <col min="9517" max="9517" width="49.125" style="95" customWidth="1"/>
    <col min="9518" max="9518" width="0.625" style="95" customWidth="1"/>
    <col min="9519" max="9519" width="8" style="95" customWidth="1"/>
    <col min="9520" max="9520" width="5.25" style="95" customWidth="1"/>
    <col min="9521" max="9521" width="0.625" style="95" customWidth="1"/>
    <col min="9522" max="9522" width="6.25" style="95" customWidth="1"/>
    <col min="9523" max="9523" width="5.75" style="95" customWidth="1"/>
    <col min="9524" max="9524" width="0.625" style="95" customWidth="1"/>
    <col min="9525" max="9525" width="6.875" style="95" customWidth="1"/>
    <col min="9526" max="9526" width="9.25" style="95" customWidth="1"/>
    <col min="9527" max="9527" width="0.625" style="95" customWidth="1"/>
    <col min="9528" max="9769" width="10" style="95"/>
    <col min="9770" max="9770" width="0.625" style="95" customWidth="1"/>
    <col min="9771" max="9771" width="13.25" style="95" customWidth="1"/>
    <col min="9772" max="9772" width="0.625" style="95" customWidth="1"/>
    <col min="9773" max="9773" width="49.125" style="95" customWidth="1"/>
    <col min="9774" max="9774" width="0.625" style="95" customWidth="1"/>
    <col min="9775" max="9775" width="8" style="95" customWidth="1"/>
    <col min="9776" max="9776" width="5.25" style="95" customWidth="1"/>
    <col min="9777" max="9777" width="0.625" style="95" customWidth="1"/>
    <col min="9778" max="9778" width="6.25" style="95" customWidth="1"/>
    <col min="9779" max="9779" width="5.75" style="95" customWidth="1"/>
    <col min="9780" max="9780" width="0.625" style="95" customWidth="1"/>
    <col min="9781" max="9781" width="6.875" style="95" customWidth="1"/>
    <col min="9782" max="9782" width="9.25" style="95" customWidth="1"/>
    <col min="9783" max="9783" width="0.625" style="95" customWidth="1"/>
    <col min="9784" max="10025" width="10" style="95"/>
    <col min="10026" max="10026" width="0.625" style="95" customWidth="1"/>
    <col min="10027" max="10027" width="13.25" style="95" customWidth="1"/>
    <col min="10028" max="10028" width="0.625" style="95" customWidth="1"/>
    <col min="10029" max="10029" width="49.125" style="95" customWidth="1"/>
    <col min="10030" max="10030" width="0.625" style="95" customWidth="1"/>
    <col min="10031" max="10031" width="8" style="95" customWidth="1"/>
    <col min="10032" max="10032" width="5.25" style="95" customWidth="1"/>
    <col min="10033" max="10033" width="0.625" style="95" customWidth="1"/>
    <col min="10034" max="10034" width="6.25" style="95" customWidth="1"/>
    <col min="10035" max="10035" width="5.75" style="95" customWidth="1"/>
    <col min="10036" max="10036" width="0.625" style="95" customWidth="1"/>
    <col min="10037" max="10037" width="6.875" style="95" customWidth="1"/>
    <col min="10038" max="10038" width="9.25" style="95" customWidth="1"/>
    <col min="10039" max="10039" width="0.625" style="95" customWidth="1"/>
    <col min="10040" max="10281" width="10" style="95"/>
    <col min="10282" max="10282" width="0.625" style="95" customWidth="1"/>
    <col min="10283" max="10283" width="13.25" style="95" customWidth="1"/>
    <col min="10284" max="10284" width="0.625" style="95" customWidth="1"/>
    <col min="10285" max="10285" width="49.125" style="95" customWidth="1"/>
    <col min="10286" max="10286" width="0.625" style="95" customWidth="1"/>
    <col min="10287" max="10287" width="8" style="95" customWidth="1"/>
    <col min="10288" max="10288" width="5.25" style="95" customWidth="1"/>
    <col min="10289" max="10289" width="0.625" style="95" customWidth="1"/>
    <col min="10290" max="10290" width="6.25" style="95" customWidth="1"/>
    <col min="10291" max="10291" width="5.75" style="95" customWidth="1"/>
    <col min="10292" max="10292" width="0.625" style="95" customWidth="1"/>
    <col min="10293" max="10293" width="6.875" style="95" customWidth="1"/>
    <col min="10294" max="10294" width="9.25" style="95" customWidth="1"/>
    <col min="10295" max="10295" width="0.625" style="95" customWidth="1"/>
    <col min="10296" max="10537" width="10" style="95"/>
    <col min="10538" max="10538" width="0.625" style="95" customWidth="1"/>
    <col min="10539" max="10539" width="13.25" style="95" customWidth="1"/>
    <col min="10540" max="10540" width="0.625" style="95" customWidth="1"/>
    <col min="10541" max="10541" width="49.125" style="95" customWidth="1"/>
    <col min="10542" max="10542" width="0.625" style="95" customWidth="1"/>
    <col min="10543" max="10543" width="8" style="95" customWidth="1"/>
    <col min="10544" max="10544" width="5.25" style="95" customWidth="1"/>
    <col min="10545" max="10545" width="0.625" style="95" customWidth="1"/>
    <col min="10546" max="10546" width="6.25" style="95" customWidth="1"/>
    <col min="10547" max="10547" width="5.75" style="95" customWidth="1"/>
    <col min="10548" max="10548" width="0.625" style="95" customWidth="1"/>
    <col min="10549" max="10549" width="6.875" style="95" customWidth="1"/>
    <col min="10550" max="10550" width="9.25" style="95" customWidth="1"/>
    <col min="10551" max="10551" width="0.625" style="95" customWidth="1"/>
    <col min="10552" max="10793" width="10" style="95"/>
    <col min="10794" max="10794" width="0.625" style="95" customWidth="1"/>
    <col min="10795" max="10795" width="13.25" style="95" customWidth="1"/>
    <col min="10796" max="10796" width="0.625" style="95" customWidth="1"/>
    <col min="10797" max="10797" width="49.125" style="95" customWidth="1"/>
    <col min="10798" max="10798" width="0.625" style="95" customWidth="1"/>
    <col min="10799" max="10799" width="8" style="95" customWidth="1"/>
    <col min="10800" max="10800" width="5.25" style="95" customWidth="1"/>
    <col min="10801" max="10801" width="0.625" style="95" customWidth="1"/>
    <col min="10802" max="10802" width="6.25" style="95" customWidth="1"/>
    <col min="10803" max="10803" width="5.75" style="95" customWidth="1"/>
    <col min="10804" max="10804" width="0.625" style="95" customWidth="1"/>
    <col min="10805" max="10805" width="6.875" style="95" customWidth="1"/>
    <col min="10806" max="10806" width="9.25" style="95" customWidth="1"/>
    <col min="10807" max="10807" width="0.625" style="95" customWidth="1"/>
    <col min="10808" max="11049" width="10" style="95"/>
    <col min="11050" max="11050" width="0.625" style="95" customWidth="1"/>
    <col min="11051" max="11051" width="13.25" style="95" customWidth="1"/>
    <col min="11052" max="11052" width="0.625" style="95" customWidth="1"/>
    <col min="11053" max="11053" width="49.125" style="95" customWidth="1"/>
    <col min="11054" max="11054" width="0.625" style="95" customWidth="1"/>
    <col min="11055" max="11055" width="8" style="95" customWidth="1"/>
    <col min="11056" max="11056" width="5.25" style="95" customWidth="1"/>
    <col min="11057" max="11057" width="0.625" style="95" customWidth="1"/>
    <col min="11058" max="11058" width="6.25" style="95" customWidth="1"/>
    <col min="11059" max="11059" width="5.75" style="95" customWidth="1"/>
    <col min="11060" max="11060" width="0.625" style="95" customWidth="1"/>
    <col min="11061" max="11061" width="6.875" style="95" customWidth="1"/>
    <col min="11062" max="11062" width="9.25" style="95" customWidth="1"/>
    <col min="11063" max="11063" width="0.625" style="95" customWidth="1"/>
    <col min="11064" max="11305" width="10" style="95"/>
    <col min="11306" max="11306" width="0.625" style="95" customWidth="1"/>
    <col min="11307" max="11307" width="13.25" style="95" customWidth="1"/>
    <col min="11308" max="11308" width="0.625" style="95" customWidth="1"/>
    <col min="11309" max="11309" width="49.125" style="95" customWidth="1"/>
    <col min="11310" max="11310" width="0.625" style="95" customWidth="1"/>
    <col min="11311" max="11311" width="8" style="95" customWidth="1"/>
    <col min="11312" max="11312" width="5.25" style="95" customWidth="1"/>
    <col min="11313" max="11313" width="0.625" style="95" customWidth="1"/>
    <col min="11314" max="11314" width="6.25" style="95" customWidth="1"/>
    <col min="11315" max="11315" width="5.75" style="95" customWidth="1"/>
    <col min="11316" max="11316" width="0.625" style="95" customWidth="1"/>
    <col min="11317" max="11317" width="6.875" style="95" customWidth="1"/>
    <col min="11318" max="11318" width="9.25" style="95" customWidth="1"/>
    <col min="11319" max="11319" width="0.625" style="95" customWidth="1"/>
    <col min="11320" max="11561" width="10" style="95"/>
    <col min="11562" max="11562" width="0.625" style="95" customWidth="1"/>
    <col min="11563" max="11563" width="13.25" style="95" customWidth="1"/>
    <col min="11564" max="11564" width="0.625" style="95" customWidth="1"/>
    <col min="11565" max="11565" width="49.125" style="95" customWidth="1"/>
    <col min="11566" max="11566" width="0.625" style="95" customWidth="1"/>
    <col min="11567" max="11567" width="8" style="95" customWidth="1"/>
    <col min="11568" max="11568" width="5.25" style="95" customWidth="1"/>
    <col min="11569" max="11569" width="0.625" style="95" customWidth="1"/>
    <col min="11570" max="11570" width="6.25" style="95" customWidth="1"/>
    <col min="11571" max="11571" width="5.75" style="95" customWidth="1"/>
    <col min="11572" max="11572" width="0.625" style="95" customWidth="1"/>
    <col min="11573" max="11573" width="6.875" style="95" customWidth="1"/>
    <col min="11574" max="11574" width="9.25" style="95" customWidth="1"/>
    <col min="11575" max="11575" width="0.625" style="95" customWidth="1"/>
    <col min="11576" max="11817" width="10" style="95"/>
    <col min="11818" max="11818" width="0.625" style="95" customWidth="1"/>
    <col min="11819" max="11819" width="13.25" style="95" customWidth="1"/>
    <col min="11820" max="11820" width="0.625" style="95" customWidth="1"/>
    <col min="11821" max="11821" width="49.125" style="95" customWidth="1"/>
    <col min="11822" max="11822" width="0.625" style="95" customWidth="1"/>
    <col min="11823" max="11823" width="8" style="95" customWidth="1"/>
    <col min="11824" max="11824" width="5.25" style="95" customWidth="1"/>
    <col min="11825" max="11825" width="0.625" style="95" customWidth="1"/>
    <col min="11826" max="11826" width="6.25" style="95" customWidth="1"/>
    <col min="11827" max="11827" width="5.75" style="95" customWidth="1"/>
    <col min="11828" max="11828" width="0.625" style="95" customWidth="1"/>
    <col min="11829" max="11829" width="6.875" style="95" customWidth="1"/>
    <col min="11830" max="11830" width="9.25" style="95" customWidth="1"/>
    <col min="11831" max="11831" width="0.625" style="95" customWidth="1"/>
    <col min="11832" max="12073" width="10" style="95"/>
    <col min="12074" max="12074" width="0.625" style="95" customWidth="1"/>
    <col min="12075" max="12075" width="13.25" style="95" customWidth="1"/>
    <col min="12076" max="12076" width="0.625" style="95" customWidth="1"/>
    <col min="12077" max="12077" width="49.125" style="95" customWidth="1"/>
    <col min="12078" max="12078" width="0.625" style="95" customWidth="1"/>
    <col min="12079" max="12079" width="8" style="95" customWidth="1"/>
    <col min="12080" max="12080" width="5.25" style="95" customWidth="1"/>
    <col min="12081" max="12081" width="0.625" style="95" customWidth="1"/>
    <col min="12082" max="12082" width="6.25" style="95" customWidth="1"/>
    <col min="12083" max="12083" width="5.75" style="95" customWidth="1"/>
    <col min="12084" max="12084" width="0.625" style="95" customWidth="1"/>
    <col min="12085" max="12085" width="6.875" style="95" customWidth="1"/>
    <col min="12086" max="12086" width="9.25" style="95" customWidth="1"/>
    <col min="12087" max="12087" width="0.625" style="95" customWidth="1"/>
    <col min="12088" max="12329" width="10" style="95"/>
    <col min="12330" max="12330" width="0.625" style="95" customWidth="1"/>
    <col min="12331" max="12331" width="13.25" style="95" customWidth="1"/>
    <col min="12332" max="12332" width="0.625" style="95" customWidth="1"/>
    <col min="12333" max="12333" width="49.125" style="95" customWidth="1"/>
    <col min="12334" max="12334" width="0.625" style="95" customWidth="1"/>
    <col min="12335" max="12335" width="8" style="95" customWidth="1"/>
    <col min="12336" max="12336" width="5.25" style="95" customWidth="1"/>
    <col min="12337" max="12337" width="0.625" style="95" customWidth="1"/>
    <col min="12338" max="12338" width="6.25" style="95" customWidth="1"/>
    <col min="12339" max="12339" width="5.75" style="95" customWidth="1"/>
    <col min="12340" max="12340" width="0.625" style="95" customWidth="1"/>
    <col min="12341" max="12341" width="6.875" style="95" customWidth="1"/>
    <col min="12342" max="12342" width="9.25" style="95" customWidth="1"/>
    <col min="12343" max="12343" width="0.625" style="95" customWidth="1"/>
    <col min="12344" max="12585" width="10" style="95"/>
    <col min="12586" max="12586" width="0.625" style="95" customWidth="1"/>
    <col min="12587" max="12587" width="13.25" style="95" customWidth="1"/>
    <col min="12588" max="12588" width="0.625" style="95" customWidth="1"/>
    <col min="12589" max="12589" width="49.125" style="95" customWidth="1"/>
    <col min="12590" max="12590" width="0.625" style="95" customWidth="1"/>
    <col min="12591" max="12591" width="8" style="95" customWidth="1"/>
    <col min="12592" max="12592" width="5.25" style="95" customWidth="1"/>
    <col min="12593" max="12593" width="0.625" style="95" customWidth="1"/>
    <col min="12594" max="12594" width="6.25" style="95" customWidth="1"/>
    <col min="12595" max="12595" width="5.75" style="95" customWidth="1"/>
    <col min="12596" max="12596" width="0.625" style="95" customWidth="1"/>
    <col min="12597" max="12597" width="6.875" style="95" customWidth="1"/>
    <col min="12598" max="12598" width="9.25" style="95" customWidth="1"/>
    <col min="12599" max="12599" width="0.625" style="95" customWidth="1"/>
    <col min="12600" max="12841" width="10" style="95"/>
    <col min="12842" max="12842" width="0.625" style="95" customWidth="1"/>
    <col min="12843" max="12843" width="13.25" style="95" customWidth="1"/>
    <col min="12844" max="12844" width="0.625" style="95" customWidth="1"/>
    <col min="12845" max="12845" width="49.125" style="95" customWidth="1"/>
    <col min="12846" max="12846" width="0.625" style="95" customWidth="1"/>
    <col min="12847" max="12847" width="8" style="95" customWidth="1"/>
    <col min="12848" max="12848" width="5.25" style="95" customWidth="1"/>
    <col min="12849" max="12849" width="0.625" style="95" customWidth="1"/>
    <col min="12850" max="12850" width="6.25" style="95" customWidth="1"/>
    <col min="12851" max="12851" width="5.75" style="95" customWidth="1"/>
    <col min="12852" max="12852" width="0.625" style="95" customWidth="1"/>
    <col min="12853" max="12853" width="6.875" style="95" customWidth="1"/>
    <col min="12854" max="12854" width="9.25" style="95" customWidth="1"/>
    <col min="12855" max="12855" width="0.625" style="95" customWidth="1"/>
    <col min="12856" max="13097" width="10" style="95"/>
    <col min="13098" max="13098" width="0.625" style="95" customWidth="1"/>
    <col min="13099" max="13099" width="13.25" style="95" customWidth="1"/>
    <col min="13100" max="13100" width="0.625" style="95" customWidth="1"/>
    <col min="13101" max="13101" width="49.125" style="95" customWidth="1"/>
    <col min="13102" max="13102" width="0.625" style="95" customWidth="1"/>
    <col min="13103" max="13103" width="8" style="95" customWidth="1"/>
    <col min="13104" max="13104" width="5.25" style="95" customWidth="1"/>
    <col min="13105" max="13105" width="0.625" style="95" customWidth="1"/>
    <col min="13106" max="13106" width="6.25" style="95" customWidth="1"/>
    <col min="13107" max="13107" width="5.75" style="95" customWidth="1"/>
    <col min="13108" max="13108" width="0.625" style="95" customWidth="1"/>
    <col min="13109" max="13109" width="6.875" style="95" customWidth="1"/>
    <col min="13110" max="13110" width="9.25" style="95" customWidth="1"/>
    <col min="13111" max="13111" width="0.625" style="95" customWidth="1"/>
    <col min="13112" max="13353" width="10" style="95"/>
    <col min="13354" max="13354" width="0.625" style="95" customWidth="1"/>
    <col min="13355" max="13355" width="13.25" style="95" customWidth="1"/>
    <col min="13356" max="13356" width="0.625" style="95" customWidth="1"/>
    <col min="13357" max="13357" width="49.125" style="95" customWidth="1"/>
    <col min="13358" max="13358" width="0.625" style="95" customWidth="1"/>
    <col min="13359" max="13359" width="8" style="95" customWidth="1"/>
    <col min="13360" max="13360" width="5.25" style="95" customWidth="1"/>
    <col min="13361" max="13361" width="0.625" style="95" customWidth="1"/>
    <col min="13362" max="13362" width="6.25" style="95" customWidth="1"/>
    <col min="13363" max="13363" width="5.75" style="95" customWidth="1"/>
    <col min="13364" max="13364" width="0.625" style="95" customWidth="1"/>
    <col min="13365" max="13365" width="6.875" style="95" customWidth="1"/>
    <col min="13366" max="13366" width="9.25" style="95" customWidth="1"/>
    <col min="13367" max="13367" width="0.625" style="95" customWidth="1"/>
    <col min="13368" max="13609" width="10" style="95"/>
    <col min="13610" max="13610" width="0.625" style="95" customWidth="1"/>
    <col min="13611" max="13611" width="13.25" style="95" customWidth="1"/>
    <col min="13612" max="13612" width="0.625" style="95" customWidth="1"/>
    <col min="13613" max="13613" width="49.125" style="95" customWidth="1"/>
    <col min="13614" max="13614" width="0.625" style="95" customWidth="1"/>
    <col min="13615" max="13615" width="8" style="95" customWidth="1"/>
    <col min="13616" max="13616" width="5.25" style="95" customWidth="1"/>
    <col min="13617" max="13617" width="0.625" style="95" customWidth="1"/>
    <col min="13618" max="13618" width="6.25" style="95" customWidth="1"/>
    <col min="13619" max="13619" width="5.75" style="95" customWidth="1"/>
    <col min="13620" max="13620" width="0.625" style="95" customWidth="1"/>
    <col min="13621" max="13621" width="6.875" style="95" customWidth="1"/>
    <col min="13622" max="13622" width="9.25" style="95" customWidth="1"/>
    <col min="13623" max="13623" width="0.625" style="95" customWidth="1"/>
    <col min="13624" max="16384" width="10" style="95"/>
  </cols>
  <sheetData>
    <row r="1" spans="1:17" customFormat="1" ht="18.75" x14ac:dyDescent="0.2">
      <c r="A1" s="587" t="s">
        <v>170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9"/>
      <c r="O1" s="255"/>
      <c r="P1" s="255"/>
      <c r="Q1" s="255"/>
    </row>
    <row r="2" spans="1:17" customFormat="1" ht="15.75" x14ac:dyDescent="0.2">
      <c r="A2" s="590" t="s">
        <v>171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591"/>
      <c r="O2" s="124"/>
      <c r="P2" s="124"/>
      <c r="Q2" s="124"/>
    </row>
    <row r="3" spans="1:17" customFormat="1" ht="14.25" x14ac:dyDescent="0.2">
      <c r="A3" s="592" t="s">
        <v>172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593"/>
      <c r="O3" s="125"/>
      <c r="P3" s="125"/>
      <c r="Q3" s="125"/>
    </row>
    <row r="4" spans="1:17" customFormat="1" ht="22.5" customHeight="1" x14ac:dyDescent="0.2">
      <c r="A4" s="592" t="s">
        <v>173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593"/>
      <c r="O4" s="125"/>
      <c r="P4" s="125"/>
      <c r="Q4" s="125"/>
    </row>
    <row r="5" spans="1:17" s="4" customFormat="1" ht="15" x14ac:dyDescent="0.25">
      <c r="A5" s="310"/>
      <c r="B5" s="310" t="s">
        <v>65</v>
      </c>
      <c r="C5" s="25" t="s">
        <v>66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311"/>
    </row>
    <row r="6" spans="1:17" s="4" customFormat="1" ht="15" x14ac:dyDescent="0.25">
      <c r="A6" s="310"/>
      <c r="B6" s="310" t="s">
        <v>67</v>
      </c>
      <c r="C6" s="25" t="s">
        <v>68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311"/>
    </row>
    <row r="7" spans="1:17" s="4" customFormat="1" ht="15" x14ac:dyDescent="0.25">
      <c r="A7" s="310"/>
      <c r="B7" s="310" t="s">
        <v>69</v>
      </c>
      <c r="C7" s="25" t="s">
        <v>170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311"/>
    </row>
    <row r="8" spans="1:17" s="4" customFormat="1" ht="15" x14ac:dyDescent="0.25">
      <c r="A8" s="310"/>
      <c r="B8" s="310" t="s">
        <v>70</v>
      </c>
      <c r="C8" s="26" t="s">
        <v>411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311"/>
    </row>
    <row r="9" spans="1:17" s="39" customFormat="1" ht="15" x14ac:dyDescent="0.2">
      <c r="A9" s="43"/>
      <c r="B9" s="44" t="s">
        <v>120</v>
      </c>
      <c r="C9" s="44"/>
      <c r="D9" s="26" t="s">
        <v>411</v>
      </c>
      <c r="E9" s="44"/>
      <c r="F9" s="45"/>
      <c r="G9" s="45"/>
      <c r="H9" s="45"/>
      <c r="I9" s="45"/>
      <c r="J9" s="45"/>
      <c r="K9" s="45"/>
      <c r="L9" s="45"/>
      <c r="M9" s="45"/>
      <c r="N9" s="46"/>
    </row>
    <row r="10" spans="1:17" s="39" customFormat="1" ht="18" x14ac:dyDescent="0.2">
      <c r="A10" s="523" t="s">
        <v>123</v>
      </c>
      <c r="B10" s="524"/>
      <c r="C10" s="524"/>
      <c r="D10" s="524"/>
      <c r="E10" s="524"/>
      <c r="F10" s="524"/>
      <c r="G10" s="524"/>
      <c r="H10" s="524"/>
      <c r="I10" s="524"/>
      <c r="J10" s="524"/>
      <c r="K10" s="524"/>
      <c r="L10" s="524"/>
      <c r="M10" s="524"/>
      <c r="N10" s="525"/>
    </row>
    <row r="11" spans="1:17" s="39" customFormat="1" ht="3.95" customHeight="1" thickBot="1" x14ac:dyDescent="0.25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  <c r="N11" s="42"/>
    </row>
    <row r="12" spans="1:17" s="39" customFormat="1" ht="12" customHeight="1" x14ac:dyDescent="0.2">
      <c r="A12" s="40"/>
      <c r="B12" s="50" t="s">
        <v>124</v>
      </c>
      <c r="D12" s="607" t="s">
        <v>329</v>
      </c>
      <c r="E12" s="608"/>
      <c r="F12" s="608"/>
      <c r="G12" s="608"/>
      <c r="H12" s="608"/>
      <c r="I12" s="608"/>
      <c r="J12" s="609"/>
      <c r="K12" s="41"/>
      <c r="L12" s="526" t="s">
        <v>126</v>
      </c>
      <c r="M12" s="528"/>
      <c r="N12" s="42"/>
    </row>
    <row r="13" spans="1:17" s="39" customFormat="1" x14ac:dyDescent="0.2">
      <c r="A13" s="40"/>
      <c r="B13" s="51"/>
      <c r="D13" s="610"/>
      <c r="E13" s="611"/>
      <c r="F13" s="611"/>
      <c r="G13" s="611"/>
      <c r="H13" s="611"/>
      <c r="I13" s="611"/>
      <c r="J13" s="612"/>
      <c r="L13" s="594" t="s">
        <v>312</v>
      </c>
      <c r="M13" s="595"/>
      <c r="N13" s="42"/>
    </row>
    <row r="14" spans="1:17" s="39" customFormat="1" ht="3.95" customHeight="1" thickBot="1" x14ac:dyDescent="0.25">
      <c r="A14" s="40"/>
      <c r="F14" s="41"/>
      <c r="G14" s="41"/>
      <c r="H14" s="41"/>
      <c r="I14" s="41"/>
      <c r="J14" s="41"/>
      <c r="L14" s="41"/>
      <c r="M14" s="41"/>
      <c r="N14" s="42"/>
    </row>
    <row r="15" spans="1:17" s="39" customFormat="1" ht="26.25" customHeight="1" x14ac:dyDescent="0.2">
      <c r="A15" s="40"/>
      <c r="B15" s="52" t="s">
        <v>128</v>
      </c>
      <c r="C15" s="53"/>
      <c r="D15" s="54" t="s">
        <v>416</v>
      </c>
      <c r="E15" s="55"/>
      <c r="F15" s="55"/>
      <c r="G15" s="56"/>
      <c r="H15" s="57"/>
      <c r="I15" s="596" t="s">
        <v>331</v>
      </c>
      <c r="J15" s="597"/>
      <c r="K15" s="597"/>
      <c r="L15" s="597"/>
      <c r="M15" s="256">
        <v>97806</v>
      </c>
      <c r="N15" s="42"/>
    </row>
    <row r="16" spans="1:17" s="39" customFormat="1" ht="3.75" customHeight="1" x14ac:dyDescent="0.2">
      <c r="A16" s="40"/>
      <c r="B16" s="61"/>
      <c r="N16" s="42"/>
    </row>
    <row r="17" spans="1:17" s="39" customFormat="1" ht="12.75" customHeight="1" x14ac:dyDescent="0.2">
      <c r="A17" s="40"/>
      <c r="B17" s="534" t="s">
        <v>75</v>
      </c>
      <c r="C17" s="535"/>
      <c r="D17" s="534" t="s">
        <v>22</v>
      </c>
      <c r="E17" s="538" t="s">
        <v>314</v>
      </c>
      <c r="F17" s="538" t="s">
        <v>136</v>
      </c>
      <c r="G17" s="540" t="s">
        <v>315</v>
      </c>
      <c r="H17" s="541"/>
      <c r="I17" s="542"/>
      <c r="J17" s="63" t="s">
        <v>137</v>
      </c>
      <c r="K17" s="63"/>
      <c r="L17" s="64"/>
      <c r="M17" s="62" t="s">
        <v>137</v>
      </c>
      <c r="N17" s="42"/>
    </row>
    <row r="18" spans="1:17" s="39" customFormat="1" x14ac:dyDescent="0.2">
      <c r="A18" s="40"/>
      <c r="B18" s="536"/>
      <c r="C18" s="537"/>
      <c r="D18" s="536"/>
      <c r="E18" s="539"/>
      <c r="F18" s="539"/>
      <c r="G18" s="543"/>
      <c r="H18" s="544"/>
      <c r="I18" s="545"/>
      <c r="J18" s="65" t="s">
        <v>316</v>
      </c>
      <c r="K18" s="65"/>
      <c r="L18" s="66"/>
      <c r="M18" s="67" t="s">
        <v>317</v>
      </c>
      <c r="N18" s="42"/>
    </row>
    <row r="19" spans="1:17" s="39" customFormat="1" ht="36" x14ac:dyDescent="0.2">
      <c r="A19" s="40"/>
      <c r="B19" s="257">
        <v>96035</v>
      </c>
      <c r="C19" s="258"/>
      <c r="D19" s="259" t="s">
        <v>114</v>
      </c>
      <c r="E19" s="260" t="s">
        <v>338</v>
      </c>
      <c r="F19" s="261" t="s">
        <v>319</v>
      </c>
      <c r="G19" s="604">
        <v>5.9999999999999995E-4</v>
      </c>
      <c r="H19" s="605"/>
      <c r="I19" s="606"/>
      <c r="J19" s="586">
        <v>270.41000000000003</v>
      </c>
      <c r="K19" s="586" t="b">
        <v>0</v>
      </c>
      <c r="L19" s="586" t="b">
        <v>0</v>
      </c>
      <c r="M19" s="266">
        <f>TRUNC(J19*G19,2)</f>
        <v>0.16</v>
      </c>
      <c r="N19" s="42"/>
    </row>
    <row r="20" spans="1:17" s="39" customFormat="1" ht="60" x14ac:dyDescent="0.2">
      <c r="A20" s="40"/>
      <c r="B20" s="257">
        <v>91486</v>
      </c>
      <c r="C20" s="258"/>
      <c r="D20" s="259" t="s">
        <v>114</v>
      </c>
      <c r="E20" s="260" t="s">
        <v>328</v>
      </c>
      <c r="F20" s="261" t="s">
        <v>327</v>
      </c>
      <c r="G20" s="604">
        <v>2.7000000000000001E-3</v>
      </c>
      <c r="H20" s="605"/>
      <c r="I20" s="606"/>
      <c r="J20" s="586">
        <v>73.63</v>
      </c>
      <c r="K20" s="586" t="b">
        <v>0</v>
      </c>
      <c r="L20" s="586" t="b">
        <v>0</v>
      </c>
      <c r="M20" s="266">
        <f t="shared" ref="M20:M31" si="0">TRUNC(J20*G20,2)</f>
        <v>0.19</v>
      </c>
      <c r="N20" s="42"/>
    </row>
    <row r="21" spans="1:17" s="39" customFormat="1" ht="60" x14ac:dyDescent="0.2">
      <c r="A21" s="40"/>
      <c r="B21" s="257">
        <v>83362</v>
      </c>
      <c r="C21" s="258"/>
      <c r="D21" s="259" t="s">
        <v>114</v>
      </c>
      <c r="E21" s="260" t="s">
        <v>323</v>
      </c>
      <c r="F21" s="261" t="s">
        <v>319</v>
      </c>
      <c r="G21" s="604">
        <v>1.2999999999999999E-3</v>
      </c>
      <c r="H21" s="605"/>
      <c r="I21" s="606"/>
      <c r="J21" s="586">
        <v>267.79000000000002</v>
      </c>
      <c r="K21" s="586" t="b">
        <v>0</v>
      </c>
      <c r="L21" s="586" t="b">
        <v>0</v>
      </c>
      <c r="M21" s="266">
        <f t="shared" si="0"/>
        <v>0.34</v>
      </c>
      <c r="N21" s="42"/>
    </row>
    <row r="22" spans="1:17" s="39" customFormat="1" ht="36" x14ac:dyDescent="0.2">
      <c r="A22" s="40"/>
      <c r="B22" s="257">
        <v>96464</v>
      </c>
      <c r="C22" s="258"/>
      <c r="D22" s="259" t="s">
        <v>114</v>
      </c>
      <c r="E22" s="260" t="s">
        <v>342</v>
      </c>
      <c r="F22" s="261" t="s">
        <v>327</v>
      </c>
      <c r="G22" s="604">
        <v>3.0000000000000001E-3</v>
      </c>
      <c r="H22" s="605"/>
      <c r="I22" s="606"/>
      <c r="J22" s="586">
        <v>89.82</v>
      </c>
      <c r="K22" s="586" t="b">
        <v>0</v>
      </c>
      <c r="L22" s="586" t="b">
        <v>0</v>
      </c>
      <c r="M22" s="266">
        <f t="shared" si="0"/>
        <v>0.26</v>
      </c>
      <c r="N22" s="42"/>
    </row>
    <row r="23" spans="1:17" s="39" customFormat="1" ht="36" x14ac:dyDescent="0.2">
      <c r="A23" s="40"/>
      <c r="B23" s="257">
        <v>96463</v>
      </c>
      <c r="C23" s="258"/>
      <c r="D23" s="259" t="s">
        <v>114</v>
      </c>
      <c r="E23" s="260" t="s">
        <v>341</v>
      </c>
      <c r="F23" s="261" t="s">
        <v>319</v>
      </c>
      <c r="G23" s="604">
        <v>1E-3</v>
      </c>
      <c r="H23" s="605"/>
      <c r="I23" s="606"/>
      <c r="J23" s="586">
        <v>215.4</v>
      </c>
      <c r="K23" s="586" t="b">
        <v>0</v>
      </c>
      <c r="L23" s="586" t="b">
        <v>0</v>
      </c>
      <c r="M23" s="266">
        <f t="shared" si="0"/>
        <v>0.21</v>
      </c>
      <c r="N23" s="42"/>
    </row>
    <row r="24" spans="1:17" s="39" customFormat="1" x14ac:dyDescent="0.2">
      <c r="A24" s="40"/>
      <c r="B24" s="257">
        <v>88316</v>
      </c>
      <c r="C24" s="258"/>
      <c r="D24" s="259" t="s">
        <v>114</v>
      </c>
      <c r="E24" s="260" t="s">
        <v>324</v>
      </c>
      <c r="F24" s="261" t="s">
        <v>127</v>
      </c>
      <c r="G24" s="604">
        <v>3.2199999999999999E-2</v>
      </c>
      <c r="H24" s="605"/>
      <c r="I24" s="606"/>
      <c r="J24" s="586">
        <v>23.84</v>
      </c>
      <c r="K24" s="586" t="b">
        <v>0</v>
      </c>
      <c r="L24" s="586" t="b">
        <v>0</v>
      </c>
      <c r="M24" s="266">
        <f t="shared" si="0"/>
        <v>0.76</v>
      </c>
      <c r="N24" s="42"/>
    </row>
    <row r="25" spans="1:17" s="39" customFormat="1" ht="24" x14ac:dyDescent="0.2">
      <c r="A25" s="40"/>
      <c r="B25" s="257">
        <v>7030</v>
      </c>
      <c r="C25" s="258"/>
      <c r="D25" s="259" t="s">
        <v>114</v>
      </c>
      <c r="E25" s="260" t="s">
        <v>335</v>
      </c>
      <c r="F25" s="261" t="s">
        <v>319</v>
      </c>
      <c r="G25" s="604">
        <v>4.0000000000000001E-3</v>
      </c>
      <c r="H25" s="605"/>
      <c r="I25" s="606"/>
      <c r="J25" s="613">
        <v>262.52</v>
      </c>
      <c r="K25" s="614" t="b">
        <v>0</v>
      </c>
      <c r="L25" s="615" t="b">
        <v>0</v>
      </c>
      <c r="M25" s="266">
        <f t="shared" si="0"/>
        <v>1.05</v>
      </c>
      <c r="N25" s="42"/>
    </row>
    <row r="26" spans="1:17" s="39" customFormat="1" ht="36" x14ac:dyDescent="0.2">
      <c r="A26" s="40"/>
      <c r="B26" s="257">
        <v>96155</v>
      </c>
      <c r="C26" s="258"/>
      <c r="D26" s="259" t="s">
        <v>114</v>
      </c>
      <c r="E26" s="260" t="s">
        <v>339</v>
      </c>
      <c r="F26" s="261" t="s">
        <v>327</v>
      </c>
      <c r="G26" s="604">
        <v>3.3E-3</v>
      </c>
      <c r="H26" s="605"/>
      <c r="I26" s="606"/>
      <c r="J26" s="586">
        <v>48.28</v>
      </c>
      <c r="K26" s="586" t="b">
        <v>0</v>
      </c>
      <c r="L26" s="586" t="b">
        <v>0</v>
      </c>
      <c r="M26" s="266">
        <f t="shared" si="0"/>
        <v>0.15</v>
      </c>
      <c r="N26" s="42"/>
    </row>
    <row r="27" spans="1:17" s="39" customFormat="1" ht="36" x14ac:dyDescent="0.2">
      <c r="A27" s="40"/>
      <c r="B27" s="257">
        <v>96157</v>
      </c>
      <c r="C27" s="258"/>
      <c r="D27" s="259" t="s">
        <v>114</v>
      </c>
      <c r="E27" s="260" t="s">
        <v>340</v>
      </c>
      <c r="F27" s="261" t="s">
        <v>319</v>
      </c>
      <c r="G27" s="604">
        <v>8.0000000000000004E-4</v>
      </c>
      <c r="H27" s="605"/>
      <c r="I27" s="606"/>
      <c r="J27" s="586">
        <v>129.47</v>
      </c>
      <c r="K27" s="586" t="b">
        <v>0</v>
      </c>
      <c r="L27" s="586" t="b">
        <v>0</v>
      </c>
      <c r="M27" s="266">
        <f t="shared" si="0"/>
        <v>0.1</v>
      </c>
      <c r="N27" s="42"/>
    </row>
    <row r="28" spans="1:17" s="39" customFormat="1" ht="24" x14ac:dyDescent="0.2">
      <c r="A28" s="40"/>
      <c r="B28" s="257">
        <v>370</v>
      </c>
      <c r="C28" s="258"/>
      <c r="D28" s="259" t="s">
        <v>122</v>
      </c>
      <c r="E28" s="263" t="s">
        <v>408</v>
      </c>
      <c r="F28" s="264" t="s">
        <v>333</v>
      </c>
      <c r="G28" s="604">
        <v>6.0000000000000001E-3</v>
      </c>
      <c r="H28" s="605"/>
      <c r="I28" s="606"/>
      <c r="J28" s="598">
        <v>150</v>
      </c>
      <c r="K28" s="598"/>
      <c r="L28" s="598"/>
      <c r="M28" s="268">
        <f t="shared" si="0"/>
        <v>0.9</v>
      </c>
      <c r="N28" s="42"/>
    </row>
    <row r="29" spans="1:17" s="39" customFormat="1" ht="24" x14ac:dyDescent="0.2">
      <c r="A29" s="40"/>
      <c r="B29" s="257" t="s">
        <v>409</v>
      </c>
      <c r="C29" s="258"/>
      <c r="D29" s="259" t="s">
        <v>113</v>
      </c>
      <c r="E29" s="263" t="s">
        <v>336</v>
      </c>
      <c r="F29" s="264" t="s">
        <v>337</v>
      </c>
      <c r="G29" s="604">
        <v>3.5</v>
      </c>
      <c r="H29" s="605"/>
      <c r="I29" s="606"/>
      <c r="J29" s="616">
        <f>6.108</f>
        <v>6.1079999999999997</v>
      </c>
      <c r="K29" s="617"/>
      <c r="L29" s="618"/>
      <c r="M29" s="268">
        <f t="shared" si="0"/>
        <v>21.37</v>
      </c>
      <c r="N29" s="42"/>
    </row>
    <row r="30" spans="1:17" s="39" customFormat="1" x14ac:dyDescent="0.2">
      <c r="A30" s="40"/>
      <c r="B30" s="257"/>
      <c r="C30" s="258"/>
      <c r="D30" s="259" t="s">
        <v>113</v>
      </c>
      <c r="E30" s="263" t="s">
        <v>332</v>
      </c>
      <c r="F30" s="264" t="s">
        <v>333</v>
      </c>
      <c r="G30" s="604">
        <v>7.3000000000000001E-3</v>
      </c>
      <c r="H30" s="605"/>
      <c r="I30" s="606"/>
      <c r="J30" s="598">
        <f>86.5*1.4</f>
        <v>121.1</v>
      </c>
      <c r="K30" s="598"/>
      <c r="L30" s="598"/>
      <c r="M30" s="268">
        <f t="shared" si="0"/>
        <v>0.88</v>
      </c>
      <c r="N30" s="42"/>
      <c r="Q30" s="39">
        <f>J30/1.4</f>
        <v>86.5</v>
      </c>
    </row>
    <row r="31" spans="1:17" s="39" customFormat="1" x14ac:dyDescent="0.2">
      <c r="A31" s="40"/>
      <c r="B31" s="257"/>
      <c r="C31" s="258"/>
      <c r="D31" s="259" t="s">
        <v>113</v>
      </c>
      <c r="E31" s="263" t="s">
        <v>334</v>
      </c>
      <c r="F31" s="264" t="s">
        <v>333</v>
      </c>
      <c r="G31" s="604">
        <v>1.4999999999999999E-2</v>
      </c>
      <c r="H31" s="605"/>
      <c r="I31" s="606"/>
      <c r="J31" s="598">
        <f>74.84*1.4</f>
        <v>104.776</v>
      </c>
      <c r="K31" s="598">
        <v>0</v>
      </c>
      <c r="L31" s="598">
        <v>0</v>
      </c>
      <c r="M31" s="268">
        <f t="shared" si="0"/>
        <v>1.57</v>
      </c>
      <c r="N31" s="42"/>
      <c r="Q31" s="39">
        <f>J31/1.4</f>
        <v>74.84</v>
      </c>
    </row>
    <row r="32" spans="1:17" s="39" customFormat="1" ht="15.75" customHeight="1" thickBot="1" x14ac:dyDescent="0.25">
      <c r="A32" s="87"/>
      <c r="B32" s="599" t="s">
        <v>142</v>
      </c>
      <c r="C32" s="600"/>
      <c r="D32" s="600"/>
      <c r="E32" s="600"/>
      <c r="F32" s="600"/>
      <c r="G32" s="600"/>
      <c r="H32" s="600"/>
      <c r="I32" s="600"/>
      <c r="J32" s="600"/>
      <c r="K32" s="600"/>
      <c r="L32" s="601"/>
      <c r="M32" s="267">
        <f>SUM(M19:M31)</f>
        <v>27.94</v>
      </c>
      <c r="N32" s="94"/>
    </row>
    <row r="33" spans="2:2" x14ac:dyDescent="0.2">
      <c r="B33" s="95" t="s">
        <v>410</v>
      </c>
    </row>
    <row r="34" spans="2:2" x14ac:dyDescent="0.2">
      <c r="B34" s="95" t="s">
        <v>441</v>
      </c>
    </row>
    <row r="35" spans="2:2" x14ac:dyDescent="0.2">
      <c r="B35" s="95" t="s">
        <v>440</v>
      </c>
    </row>
  </sheetData>
  <mergeCells count="41">
    <mergeCell ref="A1:N1"/>
    <mergeCell ref="A2:N2"/>
    <mergeCell ref="A3:N3"/>
    <mergeCell ref="A4:N4"/>
    <mergeCell ref="J19:L19"/>
    <mergeCell ref="G22:I22"/>
    <mergeCell ref="J22:L22"/>
    <mergeCell ref="B32:L32"/>
    <mergeCell ref="G26:I26"/>
    <mergeCell ref="J26:L26"/>
    <mergeCell ref="G27:I27"/>
    <mergeCell ref="J27:L27"/>
    <mergeCell ref="G23:I23"/>
    <mergeCell ref="J23:L23"/>
    <mergeCell ref="G17:I18"/>
    <mergeCell ref="G30:I30"/>
    <mergeCell ref="J30:L30"/>
    <mergeCell ref="G31:I31"/>
    <mergeCell ref="J31:L31"/>
    <mergeCell ref="G25:I25"/>
    <mergeCell ref="J25:L25"/>
    <mergeCell ref="G29:I29"/>
    <mergeCell ref="J29:L29"/>
    <mergeCell ref="G21:I21"/>
    <mergeCell ref="J21:L21"/>
    <mergeCell ref="G24:I24"/>
    <mergeCell ref="J24:L24"/>
    <mergeCell ref="G20:I20"/>
    <mergeCell ref="J20:L20"/>
    <mergeCell ref="G19:I19"/>
    <mergeCell ref="A10:N10"/>
    <mergeCell ref="G28:I28"/>
    <mergeCell ref="J28:L28"/>
    <mergeCell ref="D12:J13"/>
    <mergeCell ref="L12:M12"/>
    <mergeCell ref="L13:M13"/>
    <mergeCell ref="I15:L15"/>
    <mergeCell ref="B17:C18"/>
    <mergeCell ref="D17:D18"/>
    <mergeCell ref="E17:E18"/>
    <mergeCell ref="F17:F18"/>
  </mergeCells>
  <dataValidations disablePrompts="1" count="2">
    <dataValidation type="list" allowBlank="1" showInputMessage="1" showErrorMessage="1" sqref="D19:D31" xr:uid="{952E59AC-F485-4661-8A30-763661F3E28C}">
      <formula1>$P$1:$P$4</formula1>
    </dataValidation>
    <dataValidation type="list" allowBlank="1" showInputMessage="1" showErrorMessage="1" sqref="O19:O31" xr:uid="{F5C429C8-5253-4EF6-A1B8-777D2DF40EF2}">
      <formula1>#REF!</formula1>
    </dataValidation>
  </dataValidations>
  <printOptions horizontalCentered="1"/>
  <pageMargins left="0.15748031496062992" right="0.19685039370078741" top="0.78740157480314965" bottom="0.78740157480314965" header="0.15748031496062992" footer="0.31496062992125984"/>
  <pageSetup paperSize="9" scale="68" firstPageNumber="25" fitToHeight="0" orientation="landscape" useFirstPageNumber="1" r:id="rId1"/>
  <headerFooter scaleWithDoc="0">
    <oddFooter>&amp;C&amp;"-,Negrito itálico"Kaik Eduardo Silva Vilar
Engenheiro Civil
CREA: 241510947-9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6"/>
  <sheetViews>
    <sheetView tabSelected="1" showWhiteSpace="0" view="pageBreakPreview" topLeftCell="A21" zoomScale="85" zoomScaleNormal="85" zoomScaleSheetLayoutView="85" workbookViewId="0">
      <selection activeCell="E31" sqref="E31"/>
    </sheetView>
  </sheetViews>
  <sheetFormatPr defaultRowHeight="14.25" x14ac:dyDescent="0.2"/>
  <cols>
    <col min="1" max="2" width="13" bestFit="1" customWidth="1"/>
    <col min="3" max="3" width="13.25" bestFit="1" customWidth="1"/>
    <col min="4" max="4" width="60" bestFit="1" customWidth="1"/>
    <col min="5" max="5" width="8" bestFit="1" customWidth="1"/>
    <col min="6" max="8" width="13" bestFit="1" customWidth="1"/>
    <col min="9" max="9" width="15.75" bestFit="1" customWidth="1"/>
    <col min="10" max="10" width="13" bestFit="1" customWidth="1"/>
    <col min="11" max="11" width="11.625" bestFit="1" customWidth="1"/>
  </cols>
  <sheetData>
    <row r="1" spans="1:10" ht="18.75" x14ac:dyDescent="0.2">
      <c r="A1" s="322" t="s">
        <v>170</v>
      </c>
      <c r="B1" s="323"/>
      <c r="C1" s="323"/>
      <c r="D1" s="323"/>
      <c r="E1" s="323"/>
      <c r="F1" s="323"/>
      <c r="G1" s="323"/>
      <c r="H1" s="323"/>
      <c r="I1" s="323"/>
      <c r="J1" s="323"/>
    </row>
    <row r="2" spans="1:10" ht="15.75" x14ac:dyDescent="0.2">
      <c r="A2" s="325" t="s">
        <v>171</v>
      </c>
      <c r="B2" s="326"/>
      <c r="C2" s="326"/>
      <c r="D2" s="326"/>
      <c r="E2" s="326"/>
      <c r="F2" s="326"/>
      <c r="G2" s="326"/>
      <c r="H2" s="326"/>
      <c r="I2" s="326"/>
      <c r="J2" s="326"/>
    </row>
    <row r="3" spans="1:10" x14ac:dyDescent="0.2">
      <c r="A3" s="328" t="s">
        <v>172</v>
      </c>
      <c r="B3" s="329"/>
      <c r="C3" s="329"/>
      <c r="D3" s="329"/>
      <c r="E3" s="329"/>
      <c r="F3" s="329"/>
      <c r="G3" s="329"/>
      <c r="H3" s="329"/>
      <c r="I3" s="329"/>
      <c r="J3" s="329"/>
    </row>
    <row r="4" spans="1:10" x14ac:dyDescent="0.2">
      <c r="A4" s="328" t="s">
        <v>173</v>
      </c>
      <c r="B4" s="329"/>
      <c r="C4" s="329"/>
      <c r="D4" s="329"/>
      <c r="E4" s="329"/>
      <c r="F4" s="329"/>
      <c r="G4" s="329"/>
      <c r="H4" s="329"/>
      <c r="I4" s="329"/>
      <c r="J4" s="329"/>
    </row>
    <row r="5" spans="1:10" x14ac:dyDescent="0.2">
      <c r="A5" s="347"/>
      <c r="B5" s="348"/>
      <c r="C5" s="348"/>
      <c r="D5" s="348"/>
      <c r="E5" s="348"/>
      <c r="F5" s="348"/>
      <c r="G5" s="348"/>
      <c r="H5" s="348"/>
      <c r="I5" s="348"/>
      <c r="J5" s="348"/>
    </row>
    <row r="6" spans="1:10" ht="15" customHeight="1" x14ac:dyDescent="0.2">
      <c r="A6" s="27" t="s">
        <v>115</v>
      </c>
      <c r="B6" s="28" t="s">
        <v>66</v>
      </c>
      <c r="C6" s="29"/>
      <c r="D6" s="29"/>
      <c r="E6" s="30"/>
      <c r="F6" s="31"/>
      <c r="G6" s="354" t="s">
        <v>116</v>
      </c>
      <c r="H6" s="354"/>
      <c r="I6" s="354" t="s">
        <v>175</v>
      </c>
      <c r="J6" s="354"/>
    </row>
    <row r="7" spans="1:10" ht="25.5" customHeight="1" x14ac:dyDescent="0.2">
      <c r="A7" s="32" t="s">
        <v>117</v>
      </c>
      <c r="B7" s="33" t="s">
        <v>68</v>
      </c>
      <c r="C7" s="29"/>
      <c r="D7" s="29"/>
      <c r="E7" s="34"/>
      <c r="F7" s="29"/>
      <c r="G7" s="354"/>
      <c r="H7" s="354"/>
      <c r="I7" s="354" t="s">
        <v>112</v>
      </c>
      <c r="J7" s="354"/>
    </row>
    <row r="8" spans="1:10" ht="15" x14ac:dyDescent="0.2">
      <c r="A8" s="32" t="s">
        <v>118</v>
      </c>
      <c r="B8" s="33" t="s">
        <v>170</v>
      </c>
      <c r="C8" s="29"/>
      <c r="D8" s="29"/>
      <c r="E8" s="34"/>
      <c r="F8" s="29"/>
      <c r="G8" s="355" t="s">
        <v>119</v>
      </c>
      <c r="H8" s="355"/>
      <c r="I8" s="356">
        <f>J13</f>
        <v>0.24225200390147816</v>
      </c>
      <c r="J8" s="355"/>
    </row>
    <row r="9" spans="1:10" ht="15" x14ac:dyDescent="0.2">
      <c r="A9" s="35" t="s">
        <v>120</v>
      </c>
      <c r="B9" s="36" t="s">
        <v>411</v>
      </c>
      <c r="C9" s="29"/>
      <c r="D9" s="29"/>
      <c r="E9" s="37"/>
      <c r="F9" s="38"/>
      <c r="G9" s="356"/>
      <c r="H9" s="356"/>
      <c r="I9" s="357"/>
      <c r="J9" s="358"/>
    </row>
    <row r="10" spans="1:10" x14ac:dyDescent="0.2">
      <c r="A10" s="350" t="s">
        <v>121</v>
      </c>
      <c r="B10" s="351"/>
      <c r="C10" s="351"/>
      <c r="D10" s="351"/>
      <c r="E10" s="351"/>
      <c r="F10" s="351"/>
      <c r="G10" s="351"/>
      <c r="H10" s="351"/>
      <c r="I10" s="351"/>
      <c r="J10" s="351"/>
    </row>
    <row r="11" spans="1:10" x14ac:dyDescent="0.2">
      <c r="A11" s="352"/>
      <c r="B11" s="353"/>
      <c r="C11" s="353"/>
      <c r="D11" s="353"/>
      <c r="E11" s="353"/>
      <c r="F11" s="353"/>
      <c r="G11" s="353"/>
      <c r="H11" s="353"/>
      <c r="I11" s="353"/>
      <c r="J11" s="353"/>
    </row>
    <row r="12" spans="1:10" ht="30" customHeight="1" x14ac:dyDescent="0.2">
      <c r="A12" s="1"/>
      <c r="B12" s="1"/>
      <c r="C12" s="1"/>
      <c r="D12" s="1"/>
      <c r="E12" s="1"/>
      <c r="F12" s="1"/>
      <c r="G12" s="1"/>
      <c r="H12" s="359" t="s">
        <v>0</v>
      </c>
      <c r="I12" s="359"/>
      <c r="J12" s="2">
        <f>I15 + I17 + I27 + I32 + I34+I21</f>
        <v>1705310.5200000003</v>
      </c>
    </row>
    <row r="13" spans="1:10" ht="20.100000000000001" customHeight="1" x14ac:dyDescent="0.2">
      <c r="A13" s="1"/>
      <c r="B13" s="1"/>
      <c r="C13" s="1"/>
      <c r="D13" s="1"/>
      <c r="E13" s="1"/>
      <c r="F13" s="1"/>
      <c r="G13" s="1"/>
      <c r="H13" s="359" t="s">
        <v>1</v>
      </c>
      <c r="I13" s="359"/>
      <c r="J13" s="3">
        <f>'BDI-SERVIÇOS'!K29</f>
        <v>0.24225200390147816</v>
      </c>
    </row>
    <row r="14" spans="1:10" ht="30" customHeight="1" x14ac:dyDescent="0.2">
      <c r="A14" s="137" t="s">
        <v>2</v>
      </c>
      <c r="B14" s="138" t="s">
        <v>3</v>
      </c>
      <c r="C14" s="137" t="s">
        <v>4</v>
      </c>
      <c r="D14" s="137" t="s">
        <v>5</v>
      </c>
      <c r="E14" s="139" t="s">
        <v>6</v>
      </c>
      <c r="F14" s="138" t="s">
        <v>7</v>
      </c>
      <c r="G14" s="138" t="s">
        <v>8</v>
      </c>
      <c r="H14" s="138" t="s">
        <v>9</v>
      </c>
      <c r="I14" s="138" t="s">
        <v>10</v>
      </c>
      <c r="J14" s="138" t="s">
        <v>11</v>
      </c>
    </row>
    <row r="15" spans="1:10" ht="24" customHeight="1" x14ac:dyDescent="0.2">
      <c r="A15" s="126" t="s">
        <v>12</v>
      </c>
      <c r="B15" s="126" t="s">
        <v>13</v>
      </c>
      <c r="C15" s="126"/>
      <c r="D15" s="126" t="s">
        <v>14</v>
      </c>
      <c r="E15" s="127"/>
      <c r="F15" s="144">
        <v>1</v>
      </c>
      <c r="G15" s="144" t="s">
        <v>15</v>
      </c>
      <c r="H15" s="145">
        <f>I16</f>
        <v>43369.48</v>
      </c>
      <c r="I15" s="128">
        <f t="shared" ref="I15:I42" si="0">TRUNC(F15 * H15,2)</f>
        <v>43369.48</v>
      </c>
      <c r="J15" s="129">
        <f>I15 / J12</f>
        <v>2.5432013402462324E-2</v>
      </c>
    </row>
    <row r="16" spans="1:10" ht="24" customHeight="1" x14ac:dyDescent="0.2">
      <c r="A16" s="130" t="s">
        <v>16</v>
      </c>
      <c r="B16" s="131" t="str">
        <f>ADM!D14</f>
        <v>COMP PAV 001</v>
      </c>
      <c r="C16" s="130" t="s">
        <v>17</v>
      </c>
      <c r="D16" s="130" t="s">
        <v>125</v>
      </c>
      <c r="E16" s="132" t="s">
        <v>169</v>
      </c>
      <c r="F16" s="133">
        <v>1</v>
      </c>
      <c r="G16" s="134">
        <f>ADM!P21</f>
        <v>34911.99</v>
      </c>
      <c r="H16" s="134">
        <f>TRUNC(TRUNC(G16 * J13, 2) + G16, 2)</f>
        <v>43369.48</v>
      </c>
      <c r="I16" s="134">
        <f t="shared" si="0"/>
        <v>43369.48</v>
      </c>
      <c r="J16" s="135">
        <f>I16 / J12</f>
        <v>2.5432013402462324E-2</v>
      </c>
    </row>
    <row r="17" spans="1:11" ht="24" customHeight="1" x14ac:dyDescent="0.2">
      <c r="A17" s="126" t="s">
        <v>18</v>
      </c>
      <c r="B17" s="126" t="s">
        <v>13</v>
      </c>
      <c r="C17" s="126"/>
      <c r="D17" s="126" t="s">
        <v>19</v>
      </c>
      <c r="E17" s="127"/>
      <c r="F17" s="144">
        <v>1</v>
      </c>
      <c r="G17" s="144" t="s">
        <v>15</v>
      </c>
      <c r="H17" s="145">
        <f>I18 + I19 + I20</f>
        <v>43242.78</v>
      </c>
      <c r="I17" s="128">
        <f t="shared" si="0"/>
        <v>43242.78</v>
      </c>
      <c r="J17" s="129">
        <f>I17 / $J$12</f>
        <v>2.535771608328552E-2</v>
      </c>
    </row>
    <row r="18" spans="1:11" ht="39" customHeight="1" x14ac:dyDescent="0.2">
      <c r="A18" s="130" t="s">
        <v>20</v>
      </c>
      <c r="B18" s="130" t="s">
        <v>21</v>
      </c>
      <c r="C18" s="130" t="s">
        <v>22</v>
      </c>
      <c r="D18" s="130" t="s">
        <v>23</v>
      </c>
      <c r="E18" s="136" t="s">
        <v>24</v>
      </c>
      <c r="F18" s="133">
        <v>6</v>
      </c>
      <c r="G18" s="134">
        <v>470.31</v>
      </c>
      <c r="H18" s="134">
        <f>TRUNC(TRUNC(G18 * J13, 2) + G18, 2)</f>
        <v>584.24</v>
      </c>
      <c r="I18" s="134">
        <f t="shared" si="0"/>
        <v>3505.44</v>
      </c>
      <c r="J18" s="135">
        <f>I18 / J12</f>
        <v>2.0556021668124112E-3</v>
      </c>
    </row>
    <row r="19" spans="1:11" ht="24" customHeight="1" x14ac:dyDescent="0.2">
      <c r="A19" s="130" t="s">
        <v>25</v>
      </c>
      <c r="B19" s="130" t="s">
        <v>26</v>
      </c>
      <c r="C19" s="130" t="s">
        <v>22</v>
      </c>
      <c r="D19" s="130" t="s">
        <v>27</v>
      </c>
      <c r="E19" s="136" t="s">
        <v>28</v>
      </c>
      <c r="F19" s="308">
        <f>'QUADRO DE RUAS (2)'!G41</f>
        <v>2754.5200000000004</v>
      </c>
      <c r="G19" s="134">
        <v>7.56</v>
      </c>
      <c r="H19" s="134">
        <f>TRUNC(TRUNC(G19 * J13, 2) + G19, 2)</f>
        <v>9.39</v>
      </c>
      <c r="I19" s="134">
        <f t="shared" si="0"/>
        <v>25864.94</v>
      </c>
      <c r="J19" s="135">
        <f>I19 / $J$12</f>
        <v>1.5167290470946016E-2</v>
      </c>
    </row>
    <row r="20" spans="1:11" ht="24" customHeight="1" x14ac:dyDescent="0.2">
      <c r="A20" s="130" t="s">
        <v>29</v>
      </c>
      <c r="B20" s="131" t="s">
        <v>313</v>
      </c>
      <c r="C20" s="130" t="s">
        <v>17</v>
      </c>
      <c r="D20" s="130" t="s">
        <v>30</v>
      </c>
      <c r="E20" s="136" t="s">
        <v>31</v>
      </c>
      <c r="F20" s="133">
        <v>1</v>
      </c>
      <c r="G20" s="134">
        <f>'COMP - MOBILIZAÇÃO'!Q23</f>
        <v>11167.147800000001</v>
      </c>
      <c r="H20" s="134">
        <f>TRUNC(TRUNC(G20 * $J$13, 2) + G20, 2)</f>
        <v>13872.4</v>
      </c>
      <c r="I20" s="134">
        <f t="shared" si="0"/>
        <v>13872.4</v>
      </c>
      <c r="J20" s="135">
        <f>I20 / J12</f>
        <v>8.134823445527092E-3</v>
      </c>
    </row>
    <row r="21" spans="1:11" ht="24" customHeight="1" x14ac:dyDescent="0.2">
      <c r="A21" s="126">
        <v>3</v>
      </c>
      <c r="B21" s="126" t="s">
        <v>13</v>
      </c>
      <c r="C21" s="126"/>
      <c r="D21" s="126" t="s">
        <v>435</v>
      </c>
      <c r="E21" s="127"/>
      <c r="F21" s="144">
        <v>1</v>
      </c>
      <c r="G21" s="144" t="s">
        <v>15</v>
      </c>
      <c r="H21" s="145">
        <f>I22 + I23 + I24 + I25 + I26</f>
        <v>296245.24</v>
      </c>
      <c r="I21" s="128">
        <f>TRUNC(F21 * H21,2)</f>
        <v>296245.24</v>
      </c>
      <c r="J21" s="129">
        <f>I21 / $J$12</f>
        <v>0.17371923560290942</v>
      </c>
    </row>
    <row r="22" spans="1:11" ht="26.1" customHeight="1" x14ac:dyDescent="0.2">
      <c r="A22" s="130" t="s">
        <v>155</v>
      </c>
      <c r="B22" s="131">
        <v>100576</v>
      </c>
      <c r="C22" s="130" t="s">
        <v>22</v>
      </c>
      <c r="D22" s="130" t="s">
        <v>436</v>
      </c>
      <c r="E22" s="136" t="s">
        <v>24</v>
      </c>
      <c r="F22" s="308">
        <f>'REG. SUBLEITO'!K28</f>
        <v>17790.157999999999</v>
      </c>
      <c r="G22" s="134">
        <v>2.85</v>
      </c>
      <c r="H22" s="134">
        <f t="shared" ref="H22:H26" si="1">TRUNC(TRUNC(G22 * $J$13, 2) + G22, 2)</f>
        <v>3.54</v>
      </c>
      <c r="I22" s="134">
        <f t="shared" si="0"/>
        <v>62977.15</v>
      </c>
      <c r="J22" s="135">
        <f t="shared" ref="J22:J26" si="2">I22 / $J$12</f>
        <v>3.6930019056001594E-2</v>
      </c>
    </row>
    <row r="23" spans="1:11" ht="39" customHeight="1" x14ac:dyDescent="0.2">
      <c r="A23" s="130" t="s">
        <v>156</v>
      </c>
      <c r="B23" s="131">
        <v>95426</v>
      </c>
      <c r="C23" s="130" t="s">
        <v>22</v>
      </c>
      <c r="D23" s="130" t="s">
        <v>437</v>
      </c>
      <c r="E23" s="136" t="s">
        <v>33</v>
      </c>
      <c r="F23" s="309">
        <f>'REG. SUBLEITO'!S28</f>
        <v>4091.7363399999999</v>
      </c>
      <c r="G23" s="134">
        <v>2.0099999999999998</v>
      </c>
      <c r="H23" s="134">
        <f t="shared" si="1"/>
        <v>2.4900000000000002</v>
      </c>
      <c r="I23" s="134">
        <f t="shared" si="0"/>
        <v>10188.42</v>
      </c>
      <c r="J23" s="135">
        <f t="shared" si="2"/>
        <v>5.9745248038462805E-3</v>
      </c>
    </row>
    <row r="24" spans="1:11" ht="39" customHeight="1" x14ac:dyDescent="0.2">
      <c r="A24" s="130" t="s">
        <v>157</v>
      </c>
      <c r="B24" s="130">
        <v>101126</v>
      </c>
      <c r="C24" s="130" t="s">
        <v>22</v>
      </c>
      <c r="D24" s="130" t="s">
        <v>438</v>
      </c>
      <c r="E24" s="132" t="s">
        <v>333</v>
      </c>
      <c r="F24" s="308">
        <f>BASE!J28</f>
        <v>3558.0316000000003</v>
      </c>
      <c r="G24" s="134">
        <v>13.1</v>
      </c>
      <c r="H24" s="134">
        <f t="shared" si="1"/>
        <v>16.27</v>
      </c>
      <c r="I24" s="134">
        <f t="shared" si="0"/>
        <v>57889.17</v>
      </c>
      <c r="J24" s="135">
        <f t="shared" si="2"/>
        <v>3.3946409947673339E-2</v>
      </c>
    </row>
    <row r="25" spans="1:11" ht="39" customHeight="1" x14ac:dyDescent="0.2">
      <c r="A25" s="130" t="s">
        <v>158</v>
      </c>
      <c r="B25" s="130">
        <v>95426</v>
      </c>
      <c r="C25" s="130" t="s">
        <v>22</v>
      </c>
      <c r="D25" s="130" t="s">
        <v>437</v>
      </c>
      <c r="E25" s="136" t="s">
        <v>33</v>
      </c>
      <c r="F25" s="308">
        <f>BASE!P28</f>
        <v>20458.681700000001</v>
      </c>
      <c r="G25" s="134">
        <v>2.0099999999999998</v>
      </c>
      <c r="H25" s="134">
        <f t="shared" si="1"/>
        <v>2.4900000000000002</v>
      </c>
      <c r="I25" s="134">
        <f t="shared" si="0"/>
        <v>50942.11</v>
      </c>
      <c r="J25" s="135">
        <f t="shared" si="2"/>
        <v>2.9872629883266066E-2</v>
      </c>
    </row>
    <row r="26" spans="1:11" ht="39" customHeight="1" x14ac:dyDescent="0.2">
      <c r="A26" s="130" t="s">
        <v>159</v>
      </c>
      <c r="B26" s="130">
        <v>101768</v>
      </c>
      <c r="C26" s="130" t="s">
        <v>22</v>
      </c>
      <c r="D26" s="130" t="s">
        <v>439</v>
      </c>
      <c r="E26" s="132" t="s">
        <v>333</v>
      </c>
      <c r="F26" s="308">
        <f>BASE!J28</f>
        <v>3558.0316000000003</v>
      </c>
      <c r="G26" s="134">
        <v>25.85</v>
      </c>
      <c r="H26" s="134">
        <f t="shared" si="1"/>
        <v>32.11</v>
      </c>
      <c r="I26" s="134">
        <f t="shared" si="0"/>
        <v>114248.39</v>
      </c>
      <c r="J26" s="135">
        <f t="shared" si="2"/>
        <v>6.6995651912122131E-2</v>
      </c>
    </row>
    <row r="27" spans="1:11" ht="24" customHeight="1" x14ac:dyDescent="0.2">
      <c r="A27" s="126">
        <v>4</v>
      </c>
      <c r="B27" s="126" t="s">
        <v>13</v>
      </c>
      <c r="C27" s="126"/>
      <c r="D27" s="126" t="s">
        <v>34</v>
      </c>
      <c r="E27" s="127"/>
      <c r="F27" s="144">
        <v>1</v>
      </c>
      <c r="G27" s="144" t="s">
        <v>15</v>
      </c>
      <c r="H27" s="145">
        <f>I28 + I29 + I30 + I31</f>
        <v>824510.4</v>
      </c>
      <c r="I27" s="128">
        <f>TRUNC(F27 * H27,2)</f>
        <v>824510.4</v>
      </c>
      <c r="J27" s="129">
        <f>I27 / J12</f>
        <v>0.48349575653822852</v>
      </c>
      <c r="K27">
        <f>I27/17790.16</f>
        <v>46.346429711705795</v>
      </c>
    </row>
    <row r="28" spans="1:11" ht="26.1" customHeight="1" x14ac:dyDescent="0.2">
      <c r="A28" s="130" t="s">
        <v>160</v>
      </c>
      <c r="B28" s="131" t="str">
        <f>'COMP. IMPRIMAÇÃO'!D14</f>
        <v>COMP PAV 003</v>
      </c>
      <c r="C28" s="130" t="s">
        <v>22</v>
      </c>
      <c r="D28" s="130" t="s">
        <v>35</v>
      </c>
      <c r="E28" s="136" t="s">
        <v>24</v>
      </c>
      <c r="F28" s="308">
        <f>IMPRIMAÇÃO!H28</f>
        <v>17790.157999999999</v>
      </c>
      <c r="G28" s="134">
        <f>'COMP. IMPRIMAÇÃO'!M26</f>
        <v>7.14</v>
      </c>
      <c r="H28" s="134">
        <f>TRUNC(TRUNC(G28 * J13, 2) + G28, 2)</f>
        <v>8.86</v>
      </c>
      <c r="I28" s="134">
        <f>TRUNC(F28 * H28,2)</f>
        <v>157620.79</v>
      </c>
      <c r="J28" s="135">
        <f>I28 / J12</f>
        <v>9.2429377612705976E-2</v>
      </c>
    </row>
    <row r="29" spans="1:11" ht="39" customHeight="1" x14ac:dyDescent="0.2">
      <c r="A29" s="130" t="s">
        <v>442</v>
      </c>
      <c r="B29" s="131" t="str">
        <f>'COMP. TSD'!D15</f>
        <v>COMP PAV 004</v>
      </c>
      <c r="C29" s="130" t="s">
        <v>22</v>
      </c>
      <c r="D29" s="130" t="s">
        <v>36</v>
      </c>
      <c r="E29" s="136" t="s">
        <v>24</v>
      </c>
      <c r="F29" s="309">
        <f>F28</f>
        <v>17790.157999999999</v>
      </c>
      <c r="G29" s="134">
        <f>'COMP. TSD'!M32</f>
        <v>27.94</v>
      </c>
      <c r="H29" s="134">
        <f>TRUNC(TRUNC(G29 * J13, 2) + G29, 2)</f>
        <v>34.700000000000003</v>
      </c>
      <c r="I29" s="134">
        <f t="shared" si="0"/>
        <v>617318.48</v>
      </c>
      <c r="J29" s="135">
        <f>I29 / J12</f>
        <v>0.36199769646644758</v>
      </c>
    </row>
    <row r="30" spans="1:11" ht="39" customHeight="1" x14ac:dyDescent="0.2">
      <c r="A30" s="130" t="s">
        <v>443</v>
      </c>
      <c r="B30" s="130" t="s">
        <v>37</v>
      </c>
      <c r="C30" s="130" t="s">
        <v>22</v>
      </c>
      <c r="D30" s="130" t="s">
        <v>38</v>
      </c>
      <c r="E30" s="136" t="s">
        <v>33</v>
      </c>
      <c r="F30" s="308">
        <f>'TRANSP. BRITA (PAV)'!H29</f>
        <v>18145.961159999999</v>
      </c>
      <c r="G30" s="134">
        <v>1.85</v>
      </c>
      <c r="H30" s="134">
        <f>TRUNC(TRUNC(G30 * J13, 2) + G30, 2)</f>
        <v>2.29</v>
      </c>
      <c r="I30" s="134">
        <f t="shared" si="0"/>
        <v>41554.25</v>
      </c>
      <c r="J30" s="135">
        <f>I30 / J12</f>
        <v>2.4367556238379384E-2</v>
      </c>
    </row>
    <row r="31" spans="1:11" ht="51.95" customHeight="1" x14ac:dyDescent="0.2">
      <c r="A31" s="130" t="s">
        <v>444</v>
      </c>
      <c r="B31" s="130" t="s">
        <v>40</v>
      </c>
      <c r="C31" s="130" t="s">
        <v>22</v>
      </c>
      <c r="D31" s="130" t="s">
        <v>41</v>
      </c>
      <c r="E31" s="136" t="s">
        <v>39</v>
      </c>
      <c r="F31" s="308">
        <f>'TRANSP. EMULSÃO'!I30+'TRANSP. EMULSÃO'!I50</f>
        <v>11789.5377066</v>
      </c>
      <c r="G31" s="134">
        <v>0.55000000000000004</v>
      </c>
      <c r="H31" s="134">
        <f>TRUNC(TRUNC(G31 * J13, 2) + G31, 2)</f>
        <v>0.68</v>
      </c>
      <c r="I31" s="134">
        <f t="shared" si="0"/>
        <v>8016.88</v>
      </c>
      <c r="J31" s="135">
        <f>I31 / J12</f>
        <v>4.7011262206955711E-3</v>
      </c>
    </row>
    <row r="32" spans="1:11" ht="24" customHeight="1" x14ac:dyDescent="0.2">
      <c r="A32" s="126">
        <v>4</v>
      </c>
      <c r="B32" s="126" t="s">
        <v>13</v>
      </c>
      <c r="C32" s="126"/>
      <c r="D32" s="126" t="s">
        <v>42</v>
      </c>
      <c r="E32" s="127"/>
      <c r="F32" s="144">
        <v>1</v>
      </c>
      <c r="G32" s="144" t="s">
        <v>15</v>
      </c>
      <c r="H32" s="145">
        <f>I33</f>
        <v>387426</v>
      </c>
      <c r="I32" s="128">
        <f t="shared" si="0"/>
        <v>387426</v>
      </c>
      <c r="J32" s="129">
        <f>I32 / J12</f>
        <v>0.22718794932432596</v>
      </c>
    </row>
    <row r="33" spans="1:11" ht="51.95" customHeight="1" x14ac:dyDescent="0.2">
      <c r="A33" s="130" t="s">
        <v>160</v>
      </c>
      <c r="B33" s="130" t="s">
        <v>43</v>
      </c>
      <c r="C33" s="130" t="s">
        <v>22</v>
      </c>
      <c r="D33" s="130" t="s">
        <v>44</v>
      </c>
      <c r="E33" s="136" t="s">
        <v>28</v>
      </c>
      <c r="F33" s="308">
        <f>'CÁLCULO DE MEIO-FIO E SARJETA'!I82</f>
        <v>4821.13</v>
      </c>
      <c r="G33" s="134">
        <v>64.69</v>
      </c>
      <c r="H33" s="134">
        <f>TRUNC(TRUNC(G33 * J13, 2) + G33, 2)</f>
        <v>80.36</v>
      </c>
      <c r="I33" s="134">
        <f t="shared" si="0"/>
        <v>387426</v>
      </c>
      <c r="J33" s="135">
        <f>I33 / J12</f>
        <v>0.22718794932432596</v>
      </c>
    </row>
    <row r="34" spans="1:11" ht="24" customHeight="1" x14ac:dyDescent="0.2">
      <c r="A34" s="126">
        <v>5</v>
      </c>
      <c r="B34" s="126" t="s">
        <v>13</v>
      </c>
      <c r="C34" s="126"/>
      <c r="D34" s="126" t="s">
        <v>45</v>
      </c>
      <c r="E34" s="127"/>
      <c r="F34" s="144">
        <v>1</v>
      </c>
      <c r="G34" s="144" t="s">
        <v>15</v>
      </c>
      <c r="H34" s="145">
        <f>I35 + I38</f>
        <v>110516.62</v>
      </c>
      <c r="I34" s="128">
        <f t="shared" si="0"/>
        <v>110516.62</v>
      </c>
      <c r="J34" s="129">
        <f>I34 / J12</f>
        <v>6.4807329048788123E-2</v>
      </c>
    </row>
    <row r="35" spans="1:11" ht="24" customHeight="1" x14ac:dyDescent="0.2">
      <c r="A35" s="140" t="s">
        <v>161</v>
      </c>
      <c r="B35" s="140" t="s">
        <v>13</v>
      </c>
      <c r="C35" s="140"/>
      <c r="D35" s="140" t="s">
        <v>46</v>
      </c>
      <c r="E35" s="141"/>
      <c r="F35" s="146">
        <v>1</v>
      </c>
      <c r="G35" s="146" t="s">
        <v>15</v>
      </c>
      <c r="H35" s="147">
        <f>I36 + I37</f>
        <v>68094.290000000008</v>
      </c>
      <c r="I35" s="142">
        <f t="shared" si="0"/>
        <v>68094.289999999994</v>
      </c>
      <c r="J35" s="143">
        <f>I35 / J12</f>
        <v>3.9930727689406371E-2</v>
      </c>
    </row>
    <row r="36" spans="1:11" ht="51.95" customHeight="1" x14ac:dyDescent="0.2">
      <c r="A36" s="130" t="s">
        <v>162</v>
      </c>
      <c r="B36" s="130" t="s">
        <v>47</v>
      </c>
      <c r="C36" s="130" t="s">
        <v>22</v>
      </c>
      <c r="D36" s="130" t="s">
        <v>48</v>
      </c>
      <c r="E36" s="136" t="s">
        <v>24</v>
      </c>
      <c r="F36" s="308">
        <f>'SIN. HORIZ'!IM125</f>
        <v>132.80000000000001</v>
      </c>
      <c r="G36" s="134">
        <v>29.74</v>
      </c>
      <c r="H36" s="134">
        <f>TRUNC(TRUNC(G36 * J13, 2) + G36, 2)</f>
        <v>36.94</v>
      </c>
      <c r="I36" s="134">
        <f t="shared" si="0"/>
        <v>4905.63</v>
      </c>
      <c r="J36" s="135">
        <f>I36 / J12</f>
        <v>2.8766784362533574E-3</v>
      </c>
    </row>
    <row r="37" spans="1:11" ht="51.95" customHeight="1" x14ac:dyDescent="0.2">
      <c r="A37" s="130" t="s">
        <v>163</v>
      </c>
      <c r="B37" s="130" t="s">
        <v>49</v>
      </c>
      <c r="C37" s="130" t="s">
        <v>22</v>
      </c>
      <c r="D37" s="130" t="s">
        <v>50</v>
      </c>
      <c r="E37" s="136" t="s">
        <v>28</v>
      </c>
      <c r="F37" s="308">
        <f>'SIN. HORIZ'!IM126</f>
        <v>8369.36</v>
      </c>
      <c r="G37" s="134">
        <v>6.08</v>
      </c>
      <c r="H37" s="134">
        <f>TRUNC(TRUNC(G37 * J13, 2) + G37, 2)</f>
        <v>7.55</v>
      </c>
      <c r="I37" s="134">
        <f t="shared" si="0"/>
        <v>63188.66</v>
      </c>
      <c r="J37" s="135">
        <f>I37 / J12</f>
        <v>3.7054049253153025E-2</v>
      </c>
    </row>
    <row r="38" spans="1:11" ht="24" customHeight="1" x14ac:dyDescent="0.2">
      <c r="A38" s="140" t="s">
        <v>164</v>
      </c>
      <c r="B38" s="140" t="s">
        <v>13</v>
      </c>
      <c r="C38" s="140"/>
      <c r="D38" s="140" t="s">
        <v>51</v>
      </c>
      <c r="E38" s="141"/>
      <c r="F38" s="146">
        <v>1</v>
      </c>
      <c r="G38" s="146" t="s">
        <v>15</v>
      </c>
      <c r="H38" s="147">
        <f>I39 + I40 + I41 + I42</f>
        <v>42422.33</v>
      </c>
      <c r="I38" s="142">
        <f t="shared" si="0"/>
        <v>42422.33</v>
      </c>
      <c r="J38" s="143">
        <f>I38 / J12</f>
        <v>2.4876601359381748E-2</v>
      </c>
    </row>
    <row r="39" spans="1:11" ht="39" customHeight="1" x14ac:dyDescent="0.2">
      <c r="A39" s="130" t="s">
        <v>165</v>
      </c>
      <c r="B39" s="130" t="s">
        <v>52</v>
      </c>
      <c r="C39" s="130" t="s">
        <v>32</v>
      </c>
      <c r="D39" s="130" t="s">
        <v>53</v>
      </c>
      <c r="E39" s="136" t="s">
        <v>54</v>
      </c>
      <c r="F39" s="319">
        <f>'SIN. VERTICAL'!P65</f>
        <v>6</v>
      </c>
      <c r="G39" s="134">
        <v>282.23</v>
      </c>
      <c r="H39" s="134">
        <f>TRUNC(TRUNC(G39 * J13, 2) + G39, 2)</f>
        <v>350.6</v>
      </c>
      <c r="I39" s="134">
        <f t="shared" si="0"/>
        <v>2103.6</v>
      </c>
      <c r="J39" s="135">
        <f>I39 / J12</f>
        <v>1.2335583316521145E-3</v>
      </c>
    </row>
    <row r="40" spans="1:11" ht="39" customHeight="1" x14ac:dyDescent="0.2">
      <c r="A40" s="130" t="s">
        <v>166</v>
      </c>
      <c r="B40" s="130" t="s">
        <v>55</v>
      </c>
      <c r="C40" s="130" t="s">
        <v>32</v>
      </c>
      <c r="D40" s="130" t="s">
        <v>56</v>
      </c>
      <c r="E40" s="136" t="s">
        <v>54</v>
      </c>
      <c r="F40" s="133">
        <f>'SIN. VERTICAL'!P46</f>
        <v>15</v>
      </c>
      <c r="G40" s="134">
        <v>282.19</v>
      </c>
      <c r="H40" s="134">
        <f>TRUNC(TRUNC(G40 * J13, 2) + G40, 2)</f>
        <v>350.55</v>
      </c>
      <c r="I40" s="134">
        <f t="shared" si="0"/>
        <v>5258.25</v>
      </c>
      <c r="J40" s="135">
        <f>I40 / J12</f>
        <v>3.0834560265305812E-3</v>
      </c>
    </row>
    <row r="41" spans="1:11" ht="39" customHeight="1" x14ac:dyDescent="0.2">
      <c r="A41" s="130" t="s">
        <v>167</v>
      </c>
      <c r="B41" s="130" t="s">
        <v>57</v>
      </c>
      <c r="C41" s="130" t="s">
        <v>32</v>
      </c>
      <c r="D41" s="130" t="s">
        <v>58</v>
      </c>
      <c r="E41" s="136" t="s">
        <v>54</v>
      </c>
      <c r="F41" s="319">
        <f>'SIN. VERTICAL'!P27</f>
        <v>25</v>
      </c>
      <c r="G41" s="134">
        <v>282.25</v>
      </c>
      <c r="H41" s="134">
        <f>TRUNC(TRUNC(G41 * J13, 2) + G41, 2)</f>
        <v>350.62</v>
      </c>
      <c r="I41" s="134">
        <f t="shared" si="0"/>
        <v>8765.5</v>
      </c>
      <c r="J41" s="135">
        <f>I41 / J12</f>
        <v>5.1401195836169467E-3</v>
      </c>
    </row>
    <row r="42" spans="1:11" ht="39" customHeight="1" x14ac:dyDescent="0.2">
      <c r="A42" s="130" t="s">
        <v>168</v>
      </c>
      <c r="B42" s="130" t="s">
        <v>59</v>
      </c>
      <c r="C42" s="130" t="s">
        <v>32</v>
      </c>
      <c r="D42" s="130" t="s">
        <v>60</v>
      </c>
      <c r="E42" s="136" t="s">
        <v>54</v>
      </c>
      <c r="F42" s="133">
        <f>F41+F39+F40</f>
        <v>46</v>
      </c>
      <c r="G42" s="134">
        <v>460.16</v>
      </c>
      <c r="H42" s="134">
        <f>TRUNC(TRUNC(G42 * J13, 2) + G42, 2)</f>
        <v>571.63</v>
      </c>
      <c r="I42" s="134">
        <f t="shared" si="0"/>
        <v>26294.98</v>
      </c>
      <c r="J42" s="135">
        <f>I42 / J12</f>
        <v>1.5419467417582105E-2</v>
      </c>
    </row>
    <row r="43" spans="1:11" ht="15" x14ac:dyDescent="0.25">
      <c r="A43" s="349" t="s">
        <v>174</v>
      </c>
      <c r="B43" s="349"/>
      <c r="C43" s="349"/>
      <c r="D43" s="349"/>
      <c r="E43" s="349"/>
      <c r="F43" s="349"/>
      <c r="G43" s="349"/>
      <c r="H43" s="349"/>
      <c r="I43" s="148">
        <f>J12</f>
        <v>1705310.5200000003</v>
      </c>
      <c r="J43" s="149">
        <f>J34+J27+J17+J15+J32+J21</f>
        <v>1</v>
      </c>
      <c r="K43">
        <f>I43*0.25</f>
        <v>426327.63000000006</v>
      </c>
    </row>
    <row r="44" spans="1:11" x14ac:dyDescent="0.2">
      <c r="K44" s="644">
        <f>I43-K43</f>
        <v>1278982.8900000001</v>
      </c>
    </row>
    <row r="45" spans="1:11" x14ac:dyDescent="0.2">
      <c r="I45" s="643"/>
    </row>
    <row r="46" spans="1:11" ht="60.75" customHeight="1" x14ac:dyDescent="0.2">
      <c r="A46" s="642"/>
      <c r="B46" s="641"/>
      <c r="C46" s="641"/>
      <c r="D46" s="641"/>
      <c r="E46" s="641"/>
      <c r="F46" s="641"/>
      <c r="G46" s="641"/>
      <c r="H46" s="641"/>
      <c r="I46" s="641"/>
      <c r="J46" s="641"/>
    </row>
  </sheetData>
  <mergeCells count="17">
    <mergeCell ref="A46:J46"/>
    <mergeCell ref="A43:H43"/>
    <mergeCell ref="A10:J11"/>
    <mergeCell ref="G6:H7"/>
    <mergeCell ref="G8:H8"/>
    <mergeCell ref="G9:H9"/>
    <mergeCell ref="I6:J6"/>
    <mergeCell ref="I7:J7"/>
    <mergeCell ref="I8:J8"/>
    <mergeCell ref="I9:J9"/>
    <mergeCell ref="H12:I12"/>
    <mergeCell ref="H13:I13"/>
    <mergeCell ref="A1:J1"/>
    <mergeCell ref="A2:J2"/>
    <mergeCell ref="A3:J3"/>
    <mergeCell ref="A4:J4"/>
    <mergeCell ref="A5:J5"/>
  </mergeCells>
  <phoneticPr fontId="50" type="noConversion"/>
  <pageMargins left="0.51181102362204722" right="0.51181102362204722" top="0.98425196850393704" bottom="0.98425196850393704" header="0.51181102362204722" footer="0.51181102362204722"/>
  <pageSetup paperSize="9" scale="70" fitToHeight="0" orientation="landscape" r:id="rId1"/>
  <headerFooter differentFirst="1">
    <oddFooter>&amp;C&amp;"Arial,Negrito"Kaik Eduardo Silva Vilar&amp;"Arial,Normal"
Engenheiro Civil
CREA: 241510947-9</oddFooter>
  </headerFooter>
  <rowBreaks count="2" manualBreakCount="2">
    <brk id="27" max="9" man="1"/>
    <brk id="46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CB27-2710-4D54-9615-C8A68CD67217}">
  <sheetPr>
    <tabColor theme="5" tint="0.39997558519241921"/>
    <pageSetUpPr fitToPage="1"/>
  </sheetPr>
  <dimension ref="A1:N47"/>
  <sheetViews>
    <sheetView view="pageBreakPreview" topLeftCell="E14" zoomScale="85" zoomScaleNormal="100" zoomScaleSheetLayoutView="85" workbookViewId="0">
      <selection activeCell="E31" sqref="E31:J31"/>
    </sheetView>
  </sheetViews>
  <sheetFormatPr defaultRowHeight="12.75" x14ac:dyDescent="0.2"/>
  <cols>
    <col min="1" max="4" width="0" style="269" hidden="1" customWidth="1"/>
    <col min="5" max="5" width="10.625" style="269" customWidth="1"/>
    <col min="6" max="6" width="12.125" style="269" customWidth="1"/>
    <col min="7" max="7" width="65.875" style="269" customWidth="1"/>
    <col min="8" max="8" width="19.625" style="269" customWidth="1"/>
    <col min="9" max="9" width="7.375" style="269" customWidth="1"/>
    <col min="10" max="10" width="8.875" style="269" customWidth="1"/>
    <col min="11" max="11" width="11.25" style="269" customWidth="1"/>
    <col min="12" max="12" width="15" style="269" customWidth="1"/>
    <col min="13" max="14" width="0" style="269" hidden="1" customWidth="1"/>
    <col min="15" max="16384" width="9" style="269"/>
  </cols>
  <sheetData>
    <row r="1" spans="1:14" ht="18.75" thickBot="1" x14ac:dyDescent="0.3">
      <c r="B1" s="306"/>
      <c r="D1" s="301"/>
      <c r="E1" s="394" t="s">
        <v>170</v>
      </c>
      <c r="F1" s="395"/>
      <c r="G1" s="395"/>
      <c r="H1" s="395"/>
      <c r="I1" s="395"/>
      <c r="J1" s="395"/>
      <c r="K1" s="395"/>
      <c r="L1" s="396"/>
    </row>
    <row r="2" spans="1:14" ht="17.25" thickTop="1" thickBot="1" x14ac:dyDescent="0.3">
      <c r="D2" s="301"/>
      <c r="E2" s="397" t="s">
        <v>171</v>
      </c>
      <c r="F2" s="398"/>
      <c r="G2" s="398"/>
      <c r="H2" s="398"/>
      <c r="I2" s="398"/>
      <c r="J2" s="398"/>
      <c r="K2" s="398"/>
      <c r="L2" s="399"/>
    </row>
    <row r="3" spans="1:14" ht="13.5" thickTop="1" x14ac:dyDescent="0.2">
      <c r="A3" s="302"/>
      <c r="B3" s="304" t="e">
        <v>#VALUE!</v>
      </c>
      <c r="D3" s="301"/>
      <c r="E3" s="400" t="s">
        <v>172</v>
      </c>
      <c r="F3" s="401"/>
      <c r="G3" s="401"/>
      <c r="H3" s="401"/>
      <c r="I3" s="401"/>
      <c r="J3" s="401"/>
      <c r="K3" s="401"/>
      <c r="L3" s="402"/>
    </row>
    <row r="4" spans="1:14" x14ac:dyDescent="0.2">
      <c r="D4" s="301"/>
      <c r="E4" s="400" t="s">
        <v>173</v>
      </c>
      <c r="F4" s="401"/>
      <c r="G4" s="401"/>
      <c r="H4" s="401"/>
      <c r="I4" s="401"/>
      <c r="J4" s="401"/>
      <c r="K4" s="401"/>
      <c r="L4" s="402"/>
    </row>
    <row r="5" spans="1:14" ht="13.5" thickBot="1" x14ac:dyDescent="0.25">
      <c r="D5" s="301"/>
      <c r="E5" s="403"/>
      <c r="F5" s="404"/>
      <c r="G5" s="404"/>
      <c r="H5" s="404"/>
      <c r="I5" s="404"/>
      <c r="J5" s="404"/>
      <c r="K5" s="404"/>
      <c r="L5" s="405"/>
    </row>
    <row r="6" spans="1:14" ht="13.5" thickTop="1" x14ac:dyDescent="0.2">
      <c r="A6" s="302"/>
      <c r="B6" s="304">
        <v>1.0608000000000002</v>
      </c>
      <c r="D6" s="301"/>
      <c r="E6" s="305" t="s">
        <v>115</v>
      </c>
      <c r="F6" s="406" t="s">
        <v>66</v>
      </c>
      <c r="G6" s="406"/>
      <c r="H6" s="406"/>
      <c r="I6" s="406"/>
      <c r="J6" s="406"/>
      <c r="K6" s="406"/>
      <c r="L6" s="407"/>
    </row>
    <row r="7" spans="1:14" ht="13.5" thickBot="1" x14ac:dyDescent="0.25">
      <c r="D7" s="301"/>
      <c r="E7" s="303" t="s">
        <v>67</v>
      </c>
      <c r="F7" s="408" t="s">
        <v>68</v>
      </c>
      <c r="G7" s="408"/>
      <c r="H7" s="408"/>
      <c r="I7" s="408"/>
      <c r="J7" s="408"/>
      <c r="K7" s="408"/>
      <c r="L7" s="409"/>
    </row>
    <row r="8" spans="1:14" ht="13.5" thickTop="1" x14ac:dyDescent="0.2">
      <c r="A8" s="302"/>
      <c r="B8" s="304">
        <v>1.0497000000000001</v>
      </c>
      <c r="D8" s="301"/>
      <c r="E8" s="303" t="s">
        <v>118</v>
      </c>
      <c r="F8" s="408" t="s">
        <v>170</v>
      </c>
      <c r="G8" s="408"/>
      <c r="H8" s="408"/>
      <c r="I8" s="408"/>
      <c r="J8" s="408"/>
      <c r="K8" s="408"/>
      <c r="L8" s="409"/>
    </row>
    <row r="9" spans="1:14" x14ac:dyDescent="0.2">
      <c r="A9" s="302"/>
      <c r="B9" s="285">
        <v>1.0111000000000001</v>
      </c>
      <c r="D9" s="301"/>
      <c r="E9" s="300" t="s">
        <v>120</v>
      </c>
      <c r="F9" s="391">
        <v>45870</v>
      </c>
      <c r="G9" s="392"/>
      <c r="H9" s="392"/>
      <c r="I9" s="392"/>
      <c r="J9" s="392"/>
      <c r="K9" s="392"/>
      <c r="L9" s="393"/>
    </row>
    <row r="10" spans="1:14" s="296" customFormat="1" ht="18" x14ac:dyDescent="0.2">
      <c r="D10" s="299"/>
      <c r="E10" s="362" t="s">
        <v>374</v>
      </c>
      <c r="F10" s="363"/>
      <c r="G10" s="363"/>
      <c r="H10" s="363"/>
      <c r="I10" s="363"/>
      <c r="J10" s="363"/>
      <c r="K10" s="363"/>
      <c r="L10" s="363"/>
      <c r="M10" s="298"/>
      <c r="N10" s="297"/>
    </row>
    <row r="11" spans="1:14" x14ac:dyDescent="0.2">
      <c r="E11" s="364" t="s">
        <v>90</v>
      </c>
      <c r="F11" s="364" t="s">
        <v>373</v>
      </c>
      <c r="G11" s="364"/>
      <c r="H11" s="364"/>
      <c r="I11" s="364"/>
      <c r="J11" s="364"/>
      <c r="K11" s="365" t="s">
        <v>372</v>
      </c>
      <c r="L11" s="365"/>
    </row>
    <row r="12" spans="1:14" x14ac:dyDescent="0.2">
      <c r="E12" s="364"/>
      <c r="F12" s="364"/>
      <c r="G12" s="364"/>
      <c r="H12" s="364"/>
      <c r="I12" s="364"/>
      <c r="J12" s="364"/>
      <c r="K12" s="365" t="s">
        <v>371</v>
      </c>
      <c r="L12" s="365"/>
    </row>
    <row r="13" spans="1:14" ht="13.5" thickBot="1" x14ac:dyDescent="0.25">
      <c r="B13" s="295" t="s">
        <v>62</v>
      </c>
      <c r="C13" s="295" t="s">
        <v>61</v>
      </c>
      <c r="D13" s="295"/>
      <c r="E13" s="289">
        <v>1</v>
      </c>
      <c r="F13" s="360" t="s">
        <v>370</v>
      </c>
      <c r="G13" s="360"/>
      <c r="H13" s="360"/>
      <c r="I13" s="360"/>
      <c r="J13" s="360"/>
      <c r="K13" s="361">
        <f>SUM(K14:L17)</f>
        <v>6.0799999999999993E-2</v>
      </c>
      <c r="L13" s="361"/>
    </row>
    <row r="14" spans="1:14" ht="15.75" customHeight="1" thickBot="1" x14ac:dyDescent="0.25">
      <c r="B14" s="292">
        <v>5.5</v>
      </c>
      <c r="C14" s="291">
        <v>3</v>
      </c>
      <c r="D14" s="290"/>
      <c r="E14" s="286" t="s">
        <v>369</v>
      </c>
      <c r="F14" s="366" t="s">
        <v>368</v>
      </c>
      <c r="G14" s="366"/>
      <c r="H14" s="366"/>
      <c r="I14" s="366"/>
      <c r="J14" s="366"/>
      <c r="K14" s="367">
        <v>4.0099999999999997E-2</v>
      </c>
      <c r="L14" s="367"/>
      <c r="N14" s="269">
        <v>1.0497000000000001</v>
      </c>
    </row>
    <row r="15" spans="1:14" ht="15.75" customHeight="1" thickBot="1" x14ac:dyDescent="0.25">
      <c r="B15" s="292">
        <v>1.39</v>
      </c>
      <c r="C15" s="291">
        <v>0.59</v>
      </c>
      <c r="D15" s="290"/>
      <c r="E15" s="286" t="s">
        <v>367</v>
      </c>
      <c r="F15" s="366" t="s">
        <v>366</v>
      </c>
      <c r="G15" s="366"/>
      <c r="H15" s="366"/>
      <c r="I15" s="366"/>
      <c r="J15" s="366"/>
      <c r="K15" s="367">
        <v>1.11E-2</v>
      </c>
      <c r="L15" s="367"/>
      <c r="N15" s="269">
        <v>1.073</v>
      </c>
    </row>
    <row r="16" spans="1:14" ht="15.75" customHeight="1" thickBot="1" x14ac:dyDescent="0.25">
      <c r="B16" s="292">
        <v>1.27</v>
      </c>
      <c r="C16" s="291">
        <v>0.97</v>
      </c>
      <c r="D16" s="290"/>
      <c r="E16" s="286" t="s">
        <v>365</v>
      </c>
      <c r="F16" s="366" t="s">
        <v>364</v>
      </c>
      <c r="G16" s="366"/>
      <c r="H16" s="366"/>
      <c r="I16" s="366"/>
      <c r="J16" s="366"/>
      <c r="K16" s="367">
        <v>5.5999999999999999E-3</v>
      </c>
      <c r="L16" s="367"/>
      <c r="N16" s="269">
        <v>1.0111000000000001</v>
      </c>
    </row>
    <row r="17" spans="2:14" ht="15" customHeight="1" x14ac:dyDescent="0.2">
      <c r="B17" s="294"/>
      <c r="C17" s="290"/>
      <c r="D17" s="290"/>
      <c r="E17" s="286" t="s">
        <v>363</v>
      </c>
      <c r="F17" s="366" t="s">
        <v>362</v>
      </c>
      <c r="G17" s="366"/>
      <c r="H17" s="366"/>
      <c r="I17" s="366"/>
      <c r="J17" s="366"/>
      <c r="K17" s="367">
        <v>4.0000000000000001E-3</v>
      </c>
      <c r="L17" s="367"/>
      <c r="N17" s="269">
        <v>0.90649999999999997</v>
      </c>
    </row>
    <row r="18" spans="2:14" ht="15.75" customHeight="1" x14ac:dyDescent="0.2">
      <c r="B18" s="294"/>
      <c r="C18" s="290"/>
      <c r="D18" s="290"/>
      <c r="E18" s="368"/>
      <c r="F18" s="369"/>
      <c r="G18" s="369"/>
      <c r="H18" s="369"/>
      <c r="I18" s="369"/>
      <c r="J18" s="369"/>
      <c r="K18" s="369"/>
      <c r="L18" s="370"/>
      <c r="N18" s="269">
        <v>1.256293813469388</v>
      </c>
    </row>
    <row r="19" spans="2:14" ht="15.75" customHeight="1" x14ac:dyDescent="0.2">
      <c r="B19" s="293"/>
      <c r="C19" s="293"/>
      <c r="D19" s="293"/>
      <c r="E19" s="289" t="s">
        <v>148</v>
      </c>
      <c r="F19" s="360" t="s">
        <v>361</v>
      </c>
      <c r="G19" s="360"/>
      <c r="H19" s="360"/>
      <c r="I19" s="360"/>
      <c r="J19" s="360"/>
      <c r="K19" s="361">
        <f>SUM(K20)</f>
        <v>6.9199999999999998E-2</v>
      </c>
      <c r="L19" s="361"/>
      <c r="N19" s="287">
        <v>0.25629381346938795</v>
      </c>
    </row>
    <row r="20" spans="2:14" ht="15.75" customHeight="1" thickBot="1" x14ac:dyDescent="0.25">
      <c r="E20" s="286" t="s">
        <v>71</v>
      </c>
      <c r="F20" s="366" t="s">
        <v>360</v>
      </c>
      <c r="G20" s="366"/>
      <c r="H20" s="366"/>
      <c r="I20" s="366"/>
      <c r="J20" s="366"/>
      <c r="K20" s="367">
        <v>6.9199999999999998E-2</v>
      </c>
      <c r="L20" s="367"/>
    </row>
    <row r="21" spans="2:14" ht="15.75" customHeight="1" thickBot="1" x14ac:dyDescent="0.25">
      <c r="B21" s="292">
        <v>8.9600000000000009</v>
      </c>
      <c r="C21" s="291">
        <v>6.16</v>
      </c>
      <c r="D21" s="290"/>
      <c r="E21" s="368"/>
      <c r="F21" s="369"/>
      <c r="G21" s="369"/>
      <c r="H21" s="369"/>
      <c r="I21" s="369"/>
      <c r="J21" s="369"/>
      <c r="K21" s="369"/>
      <c r="L21" s="370"/>
    </row>
    <row r="22" spans="2:14" ht="15.75" customHeight="1" x14ac:dyDescent="0.2">
      <c r="E22" s="289" t="s">
        <v>149</v>
      </c>
      <c r="F22" s="360" t="s">
        <v>359</v>
      </c>
      <c r="G22" s="360"/>
      <c r="H22" s="360"/>
      <c r="I22" s="360"/>
      <c r="J22" s="360"/>
      <c r="K22" s="361">
        <f>SUM(K23:L26)</f>
        <v>8.6500000000000007E-2</v>
      </c>
      <c r="L22" s="361"/>
    </row>
    <row r="23" spans="2:14" ht="15.75" customHeight="1" x14ac:dyDescent="0.2">
      <c r="E23" s="286" t="s">
        <v>155</v>
      </c>
      <c r="F23" s="366" t="s">
        <v>358</v>
      </c>
      <c r="G23" s="366"/>
      <c r="H23" s="366"/>
      <c r="I23" s="366"/>
      <c r="J23" s="366"/>
      <c r="K23" s="377">
        <v>0.05</v>
      </c>
      <c r="L23" s="377"/>
    </row>
    <row r="24" spans="2:14" x14ac:dyDescent="0.2">
      <c r="C24" s="288"/>
      <c r="D24" s="287"/>
      <c r="E24" s="286" t="s">
        <v>156</v>
      </c>
      <c r="F24" s="366" t="s">
        <v>357</v>
      </c>
      <c r="G24" s="366"/>
      <c r="H24" s="366"/>
      <c r="I24" s="366"/>
      <c r="J24" s="366"/>
      <c r="K24" s="376">
        <v>0.03</v>
      </c>
      <c r="L24" s="376"/>
    </row>
    <row r="25" spans="2:14" ht="15" customHeight="1" x14ac:dyDescent="0.2">
      <c r="B25" s="285">
        <v>1.073</v>
      </c>
      <c r="E25" s="286" t="s">
        <v>157</v>
      </c>
      <c r="F25" s="366" t="s">
        <v>356</v>
      </c>
      <c r="G25" s="366"/>
      <c r="H25" s="366"/>
      <c r="I25" s="366"/>
      <c r="J25" s="366"/>
      <c r="K25" s="376">
        <v>6.4999999999999997E-3</v>
      </c>
      <c r="L25" s="376"/>
    </row>
    <row r="26" spans="2:14" ht="15" customHeight="1" x14ac:dyDescent="0.2">
      <c r="B26" s="285">
        <v>0.90649999999999997</v>
      </c>
      <c r="E26" s="286" t="s">
        <v>158</v>
      </c>
      <c r="F26" s="366" t="s">
        <v>355</v>
      </c>
      <c r="G26" s="366"/>
      <c r="H26" s="366"/>
      <c r="I26" s="366"/>
      <c r="J26" s="366"/>
      <c r="K26" s="377">
        <v>0</v>
      </c>
      <c r="L26" s="377"/>
    </row>
    <row r="27" spans="2:14" ht="15.75" customHeight="1" x14ac:dyDescent="0.2">
      <c r="B27" s="285">
        <v>1.1388303419100003</v>
      </c>
      <c r="E27" s="368" t="s">
        <v>354</v>
      </c>
      <c r="F27" s="369"/>
      <c r="G27" s="369"/>
      <c r="H27" s="369"/>
      <c r="I27" s="369"/>
      <c r="J27" s="369"/>
      <c r="K27" s="369"/>
      <c r="L27" s="370"/>
    </row>
    <row r="28" spans="2:14" ht="15.75" customHeight="1" x14ac:dyDescent="0.2">
      <c r="B28" s="285">
        <v>1.2562938134693882</v>
      </c>
      <c r="E28" s="411" t="s">
        <v>353</v>
      </c>
      <c r="F28" s="412"/>
      <c r="G28" s="412"/>
      <c r="H28" s="412"/>
      <c r="I28" s="412"/>
      <c r="J28" s="412"/>
      <c r="K28" s="412"/>
      <c r="L28" s="413"/>
    </row>
    <row r="29" spans="2:14" x14ac:dyDescent="0.2">
      <c r="B29" s="285">
        <v>0.25629381346938818</v>
      </c>
      <c r="E29" s="371" t="s">
        <v>352</v>
      </c>
      <c r="F29" s="371"/>
      <c r="G29" s="371"/>
      <c r="H29" s="371"/>
      <c r="I29" s="371"/>
      <c r="J29" s="371"/>
      <c r="K29" s="372">
        <f>((((1+K14+K17+K16)*(1+K15)*(1+K20))/(1-K22))-1)</f>
        <v>0.24225200390147816</v>
      </c>
      <c r="L29" s="373"/>
    </row>
    <row r="30" spans="2:14" ht="19.5" customHeight="1" thickBot="1" x14ac:dyDescent="0.25">
      <c r="B30" s="284">
        <v>0.25629381346938818</v>
      </c>
      <c r="E30" s="371"/>
      <c r="F30" s="371"/>
      <c r="G30" s="371"/>
      <c r="H30" s="371"/>
      <c r="I30" s="371"/>
      <c r="J30" s="371"/>
      <c r="K30" s="374"/>
      <c r="L30" s="375"/>
    </row>
    <row r="31" spans="2:14" ht="20.25" customHeight="1" thickTop="1" x14ac:dyDescent="0.2">
      <c r="E31" s="365" t="s">
        <v>351</v>
      </c>
      <c r="F31" s="365"/>
      <c r="G31" s="365"/>
      <c r="H31" s="365"/>
      <c r="I31" s="365"/>
      <c r="J31" s="365"/>
      <c r="K31" s="410">
        <f>'Orçamento Sintético'!I43</f>
        <v>1705310.5200000003</v>
      </c>
      <c r="L31" s="410"/>
    </row>
    <row r="32" spans="2:14" ht="15.75" customHeight="1" x14ac:dyDescent="0.2">
      <c r="E32" s="383" t="s">
        <v>350</v>
      </c>
      <c r="F32" s="384"/>
      <c r="G32" s="384"/>
      <c r="H32" s="384"/>
      <c r="I32" s="384"/>
      <c r="J32" s="384"/>
      <c r="K32" s="384"/>
      <c r="L32" s="385"/>
    </row>
    <row r="33" spans="5:12" ht="15.75" customHeight="1" x14ac:dyDescent="0.2">
      <c r="E33" s="386" t="s">
        <v>349</v>
      </c>
      <c r="F33" s="386"/>
      <c r="G33" s="386"/>
      <c r="H33" s="386"/>
      <c r="I33" s="386"/>
      <c r="J33" s="386"/>
      <c r="K33" s="386"/>
      <c r="L33" s="386"/>
    </row>
    <row r="34" spans="5:12" ht="16.5" customHeight="1" x14ac:dyDescent="0.2">
      <c r="E34" s="278"/>
      <c r="F34" s="283"/>
      <c r="L34" s="276"/>
    </row>
    <row r="35" spans="5:12" x14ac:dyDescent="0.2">
      <c r="E35" s="278"/>
      <c r="F35" s="387" t="s">
        <v>348</v>
      </c>
      <c r="G35" s="388" t="s">
        <v>347</v>
      </c>
      <c r="H35" s="388"/>
      <c r="I35" s="388"/>
      <c r="J35" s="388"/>
      <c r="K35" s="389">
        <v>-1</v>
      </c>
      <c r="L35" s="276"/>
    </row>
    <row r="36" spans="5:12" x14ac:dyDescent="0.2">
      <c r="E36" s="278"/>
      <c r="F36" s="387"/>
      <c r="G36" s="390" t="s">
        <v>346</v>
      </c>
      <c r="H36" s="390"/>
      <c r="I36" s="390"/>
      <c r="J36" s="390"/>
      <c r="K36" s="389"/>
      <c r="L36" s="276"/>
    </row>
    <row r="37" spans="5:12" ht="13.5" thickBot="1" x14ac:dyDescent="0.25">
      <c r="E37" s="278"/>
      <c r="F37" s="282"/>
      <c r="G37" s="281"/>
      <c r="H37" s="280"/>
      <c r="L37" s="276"/>
    </row>
    <row r="38" spans="5:12" ht="13.5" thickBot="1" x14ac:dyDescent="0.25">
      <c r="E38" s="278"/>
      <c r="F38" s="378" t="s">
        <v>345</v>
      </c>
      <c r="G38" s="379"/>
      <c r="H38" s="379"/>
      <c r="I38" s="379"/>
      <c r="J38" s="379"/>
      <c r="K38" s="380"/>
      <c r="L38" s="276"/>
    </row>
    <row r="39" spans="5:12" ht="13.5" thickBot="1" x14ac:dyDescent="0.25">
      <c r="E39" s="278"/>
      <c r="F39" s="277">
        <v>2.5000000000000001E-2</v>
      </c>
      <c r="G39" s="381" t="s">
        <v>344</v>
      </c>
      <c r="H39" s="381"/>
      <c r="I39" s="381"/>
      <c r="J39" s="381"/>
      <c r="K39" s="382"/>
      <c r="L39" s="276"/>
    </row>
    <row r="40" spans="5:12" ht="13.5" thickBot="1" x14ac:dyDescent="0.25">
      <c r="E40" s="278"/>
      <c r="G40" s="279"/>
      <c r="H40" s="279"/>
      <c r="I40" s="279"/>
      <c r="J40" s="279"/>
      <c r="K40" s="279"/>
      <c r="L40" s="276"/>
    </row>
    <row r="41" spans="5:12" ht="13.5" thickBot="1" x14ac:dyDescent="0.25">
      <c r="E41" s="278"/>
      <c r="F41" s="277">
        <v>0.4</v>
      </c>
      <c r="G41" s="381" t="s">
        <v>343</v>
      </c>
      <c r="H41" s="381"/>
      <c r="I41" s="381"/>
      <c r="J41" s="381"/>
      <c r="K41" s="382"/>
      <c r="L41" s="276"/>
    </row>
    <row r="42" spans="5:12" ht="13.15" customHeight="1" thickBot="1" x14ac:dyDescent="0.25">
      <c r="E42" s="275"/>
      <c r="F42" s="274"/>
      <c r="G42" s="273"/>
      <c r="H42" s="272"/>
      <c r="I42" s="272"/>
      <c r="J42" s="272"/>
      <c r="K42" s="272"/>
      <c r="L42" s="271"/>
    </row>
    <row r="43" spans="5:12" ht="13.15" customHeight="1" x14ac:dyDescent="0.2">
      <c r="E43" s="270"/>
    </row>
    <row r="45" spans="5:12" ht="21.6" customHeight="1" x14ac:dyDescent="0.2"/>
    <row r="46" spans="5:12" ht="17.45" customHeight="1" x14ac:dyDescent="0.2"/>
    <row r="47" spans="5:12" ht="26.45" customHeight="1" x14ac:dyDescent="0.2"/>
  </sheetData>
  <mergeCells count="55">
    <mergeCell ref="E31:J31"/>
    <mergeCell ref="K31:L31"/>
    <mergeCell ref="F26:J26"/>
    <mergeCell ref="K26:L26"/>
    <mergeCell ref="E27:L27"/>
    <mergeCell ref="E28:L28"/>
    <mergeCell ref="F9:L9"/>
    <mergeCell ref="E1:L1"/>
    <mergeCell ref="E2:L2"/>
    <mergeCell ref="E3:L3"/>
    <mergeCell ref="E4:L4"/>
    <mergeCell ref="E5:L5"/>
    <mergeCell ref="F6:L6"/>
    <mergeCell ref="F7:L7"/>
    <mergeCell ref="F8:L8"/>
    <mergeCell ref="F38:K38"/>
    <mergeCell ref="G39:K39"/>
    <mergeCell ref="G41:K41"/>
    <mergeCell ref="E32:L32"/>
    <mergeCell ref="E33:L33"/>
    <mergeCell ref="F35:F36"/>
    <mergeCell ref="G35:J35"/>
    <mergeCell ref="K35:K36"/>
    <mergeCell ref="G36:J36"/>
    <mergeCell ref="E29:J30"/>
    <mergeCell ref="K29:L30"/>
    <mergeCell ref="F22:J22"/>
    <mergeCell ref="K22:L22"/>
    <mergeCell ref="F24:J24"/>
    <mergeCell ref="K24:L24"/>
    <mergeCell ref="F25:J25"/>
    <mergeCell ref="K25:L25"/>
    <mergeCell ref="F23:J23"/>
    <mergeCell ref="K23:L23"/>
    <mergeCell ref="F20:J20"/>
    <mergeCell ref="K20:L20"/>
    <mergeCell ref="E21:L21"/>
    <mergeCell ref="F14:J14"/>
    <mergeCell ref="K14:L14"/>
    <mergeCell ref="F15:J15"/>
    <mergeCell ref="K15:L15"/>
    <mergeCell ref="F16:J16"/>
    <mergeCell ref="K16:L16"/>
    <mergeCell ref="F17:J17"/>
    <mergeCell ref="K17:L17"/>
    <mergeCell ref="E18:L18"/>
    <mergeCell ref="F19:J19"/>
    <mergeCell ref="K19:L19"/>
    <mergeCell ref="F13:J13"/>
    <mergeCell ref="K13:L13"/>
    <mergeCell ref="E10:L10"/>
    <mergeCell ref="E11:E12"/>
    <mergeCell ref="F11:J12"/>
    <mergeCell ref="K11:L11"/>
    <mergeCell ref="K12:L12"/>
  </mergeCells>
  <printOptions horizontalCentered="1"/>
  <pageMargins left="0.15748031496062992" right="0.19685039370078741" top="0.78740157480314965" bottom="0.78740157480314965" header="0.15748031496062992" footer="0.31496062992125984"/>
  <pageSetup paperSize="9" scale="60" firstPageNumber="25" orientation="portrait" useFirstPageNumber="1" r:id="rId1"/>
  <headerFooter scaleWithDoc="0">
    <oddFooter>&amp;C&amp;"-,Negrito itálico"Kaik Eduardo Silva Vilar&amp;"-,Regular"
Engenheiro Civil
CREA: 241510947-9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R113"/>
  <sheetViews>
    <sheetView showGridLines="0" view="pageBreakPreview" zoomScale="85" zoomScaleNormal="115" zoomScaleSheetLayoutView="85" workbookViewId="0">
      <selection activeCell="I21" sqref="I21:I22"/>
    </sheetView>
  </sheetViews>
  <sheetFormatPr defaultColWidth="9" defaultRowHeight="15" x14ac:dyDescent="0.25"/>
  <cols>
    <col min="1" max="1" width="9" style="116"/>
    <col min="2" max="2" width="5.25" style="116" customWidth="1"/>
    <col min="3" max="3" width="36.25" style="116" customWidth="1"/>
    <col min="4" max="6" width="13.75" style="116" customWidth="1"/>
    <col min="7" max="9" width="12" style="116" customWidth="1"/>
    <col min="10" max="10" width="16.375" style="116" bestFit="1" customWidth="1"/>
    <col min="11" max="16384" width="9" style="116"/>
  </cols>
  <sheetData>
    <row r="1" spans="1:13" s="97" customFormat="1" ht="18.75" x14ac:dyDescent="0.2">
      <c r="A1" s="322" t="s">
        <v>170</v>
      </c>
      <c r="B1" s="323"/>
      <c r="C1" s="323"/>
      <c r="D1" s="323"/>
      <c r="E1" s="323"/>
      <c r="F1" s="323"/>
      <c r="G1" s="323"/>
      <c r="H1" s="323"/>
      <c r="I1" s="324"/>
      <c r="J1" s="123"/>
      <c r="K1" s="123"/>
      <c r="L1" s="123"/>
      <c r="M1" s="123"/>
    </row>
    <row r="2" spans="1:13" s="97" customFormat="1" ht="15.75" x14ac:dyDescent="0.2">
      <c r="A2" s="325" t="s">
        <v>171</v>
      </c>
      <c r="B2" s="326"/>
      <c r="C2" s="326"/>
      <c r="D2" s="326"/>
      <c r="E2" s="326"/>
      <c r="F2" s="326"/>
      <c r="G2" s="326"/>
      <c r="H2" s="326"/>
      <c r="I2" s="327"/>
      <c r="J2" s="124"/>
      <c r="K2" s="124"/>
      <c r="L2" s="124"/>
      <c r="M2" s="124"/>
    </row>
    <row r="3" spans="1:13" s="97" customFormat="1" ht="14.25" x14ac:dyDescent="0.2">
      <c r="A3" s="328" t="s">
        <v>172</v>
      </c>
      <c r="B3" s="329"/>
      <c r="C3" s="329"/>
      <c r="D3" s="329"/>
      <c r="E3" s="329"/>
      <c r="F3" s="329"/>
      <c r="G3" s="329"/>
      <c r="H3" s="329"/>
      <c r="I3" s="330"/>
      <c r="J3" s="125"/>
      <c r="K3" s="125"/>
      <c r="L3" s="125"/>
      <c r="M3" s="125"/>
    </row>
    <row r="4" spans="1:13" s="97" customFormat="1" ht="14.25" x14ac:dyDescent="0.2">
      <c r="A4" s="328" t="s">
        <v>173</v>
      </c>
      <c r="B4" s="329"/>
      <c r="C4" s="329"/>
      <c r="D4" s="329"/>
      <c r="E4" s="329"/>
      <c r="F4" s="329"/>
      <c r="G4" s="329"/>
      <c r="H4" s="329"/>
      <c r="I4" s="330"/>
      <c r="J4" s="125"/>
      <c r="K4" s="125"/>
      <c r="L4" s="125"/>
      <c r="M4" s="125"/>
    </row>
    <row r="5" spans="1:13" s="97" customFormat="1" ht="14.25" x14ac:dyDescent="0.2">
      <c r="A5" s="331" t="s">
        <v>64</v>
      </c>
      <c r="B5" s="332" t="s">
        <v>64</v>
      </c>
      <c r="C5" s="332" t="s">
        <v>64</v>
      </c>
      <c r="D5" s="332"/>
      <c r="E5" s="332"/>
      <c r="F5" s="332"/>
      <c r="G5" s="332"/>
      <c r="H5" s="332"/>
      <c r="I5" s="333"/>
    </row>
    <row r="6" spans="1:13" s="97" customFormat="1" ht="15" customHeight="1" x14ac:dyDescent="0.2">
      <c r="A6" s="5" t="s">
        <v>65</v>
      </c>
      <c r="B6" s="334" t="s">
        <v>66</v>
      </c>
      <c r="C6" s="334"/>
      <c r="D6" s="334"/>
      <c r="E6" s="334"/>
      <c r="F6" s="334"/>
      <c r="G6" s="334"/>
      <c r="H6" s="334"/>
      <c r="I6" s="335"/>
    </row>
    <row r="7" spans="1:13" s="97" customFormat="1" ht="14.25" x14ac:dyDescent="0.2">
      <c r="A7" s="6" t="s">
        <v>67</v>
      </c>
      <c r="B7" s="336" t="s">
        <v>68</v>
      </c>
      <c r="C7" s="336"/>
      <c r="D7" s="336"/>
      <c r="E7" s="336"/>
      <c r="F7" s="336"/>
      <c r="G7" s="336"/>
      <c r="H7" s="336"/>
      <c r="I7" s="337"/>
    </row>
    <row r="8" spans="1:13" s="97" customFormat="1" ht="14.25" x14ac:dyDescent="0.2">
      <c r="A8" s="6" t="s">
        <v>69</v>
      </c>
      <c r="B8" s="336" t="s">
        <v>170</v>
      </c>
      <c r="C8" s="336"/>
      <c r="D8" s="336"/>
      <c r="E8" s="336"/>
      <c r="F8" s="336"/>
      <c r="G8" s="336"/>
      <c r="H8" s="336"/>
      <c r="I8" s="337"/>
    </row>
    <row r="9" spans="1:13" s="97" customFormat="1" ht="15.75" customHeight="1" x14ac:dyDescent="0.2">
      <c r="A9" s="7" t="s">
        <v>70</v>
      </c>
      <c r="B9" s="338" t="s">
        <v>418</v>
      </c>
      <c r="C9" s="339"/>
      <c r="D9" s="339"/>
      <c r="E9" s="339"/>
      <c r="F9" s="339"/>
      <c r="G9" s="339"/>
      <c r="H9" s="339"/>
      <c r="I9" s="340"/>
    </row>
    <row r="10" spans="1:13" s="97" customFormat="1" ht="22.5" customHeight="1" x14ac:dyDescent="0.2">
      <c r="A10" s="414" t="s">
        <v>176</v>
      </c>
      <c r="B10" s="415"/>
      <c r="C10" s="415"/>
      <c r="D10" s="415"/>
      <c r="E10" s="415"/>
      <c r="F10" s="415"/>
      <c r="G10" s="415"/>
      <c r="H10" s="415"/>
      <c r="I10" s="415"/>
    </row>
    <row r="11" spans="1:13" s="122" customFormat="1" ht="12.75" x14ac:dyDescent="0.2">
      <c r="A11" s="416" t="s">
        <v>90</v>
      </c>
      <c r="B11" s="418" t="s">
        <v>177</v>
      </c>
      <c r="C11" s="419"/>
      <c r="D11" s="422" t="s">
        <v>178</v>
      </c>
      <c r="E11" s="423"/>
      <c r="F11" s="162"/>
      <c r="G11" s="150" t="s">
        <v>179</v>
      </c>
      <c r="H11" s="150" t="s">
        <v>180</v>
      </c>
      <c r="I11" s="150" t="s">
        <v>245</v>
      </c>
      <c r="J11" s="150" t="s">
        <v>246</v>
      </c>
    </row>
    <row r="12" spans="1:13" s="122" customFormat="1" ht="22.5" customHeight="1" x14ac:dyDescent="0.2">
      <c r="A12" s="417"/>
      <c r="B12" s="420"/>
      <c r="C12" s="421"/>
      <c r="D12" s="151" t="s">
        <v>182</v>
      </c>
      <c r="E12" s="151" t="s">
        <v>183</v>
      </c>
      <c r="F12" s="163" t="s">
        <v>241</v>
      </c>
      <c r="G12" s="152" t="s">
        <v>184</v>
      </c>
      <c r="H12" s="152" t="s">
        <v>184</v>
      </c>
      <c r="I12" s="152" t="s">
        <v>185</v>
      </c>
      <c r="J12" s="152" t="s">
        <v>185</v>
      </c>
    </row>
    <row r="13" spans="1:13" s="122" customFormat="1" ht="12.75" x14ac:dyDescent="0.2">
      <c r="A13" s="424">
        <v>1</v>
      </c>
      <c r="B13" s="426" t="s">
        <v>236</v>
      </c>
      <c r="C13" s="427"/>
      <c r="D13" s="153" t="s">
        <v>209</v>
      </c>
      <c r="E13" s="153" t="s">
        <v>211</v>
      </c>
      <c r="F13" s="436" t="s">
        <v>242</v>
      </c>
      <c r="G13" s="430">
        <f>101.13+10.94+110.35</f>
        <v>222.42</v>
      </c>
      <c r="H13" s="432">
        <v>6.4</v>
      </c>
      <c r="I13" s="434">
        <f>H13*G13</f>
        <v>1423.4880000000001</v>
      </c>
      <c r="J13" s="434">
        <v>1428.03</v>
      </c>
    </row>
    <row r="14" spans="1:13" s="122" customFormat="1" ht="15" customHeight="1" x14ac:dyDescent="0.2">
      <c r="A14" s="425"/>
      <c r="B14" s="428"/>
      <c r="C14" s="429"/>
      <c r="D14" s="154" t="s">
        <v>210</v>
      </c>
      <c r="E14" s="154" t="s">
        <v>212</v>
      </c>
      <c r="F14" s="437"/>
      <c r="G14" s="431"/>
      <c r="H14" s="433"/>
      <c r="I14" s="435"/>
      <c r="J14" s="435"/>
    </row>
    <row r="15" spans="1:13" s="122" customFormat="1" ht="12.75" x14ac:dyDescent="0.2">
      <c r="A15" s="424">
        <v>2</v>
      </c>
      <c r="B15" s="426" t="s">
        <v>231</v>
      </c>
      <c r="C15" s="427"/>
      <c r="D15" s="153" t="s">
        <v>189</v>
      </c>
      <c r="E15" s="153" t="s">
        <v>194</v>
      </c>
      <c r="F15" s="436" t="s">
        <v>242</v>
      </c>
      <c r="G15" s="430">
        <f>2.31+98.54+11.14+107.55</f>
        <v>219.54000000000002</v>
      </c>
      <c r="H15" s="432">
        <v>6.4</v>
      </c>
      <c r="I15" s="434">
        <f>H15*G15</f>
        <v>1405.0560000000003</v>
      </c>
      <c r="J15" s="434">
        <v>1409.49</v>
      </c>
    </row>
    <row r="16" spans="1:13" s="122" customFormat="1" ht="15" customHeight="1" x14ac:dyDescent="0.2">
      <c r="A16" s="425"/>
      <c r="B16" s="428"/>
      <c r="C16" s="429"/>
      <c r="D16" s="154" t="s">
        <v>190</v>
      </c>
      <c r="E16" s="154" t="s">
        <v>195</v>
      </c>
      <c r="F16" s="437"/>
      <c r="G16" s="431"/>
      <c r="H16" s="433"/>
      <c r="I16" s="435"/>
      <c r="J16" s="435"/>
    </row>
    <row r="17" spans="1:10" s="122" customFormat="1" ht="15" customHeight="1" x14ac:dyDescent="0.2">
      <c r="A17" s="424">
        <v>3</v>
      </c>
      <c r="B17" s="426" t="s">
        <v>237</v>
      </c>
      <c r="C17" s="427"/>
      <c r="D17" s="153" t="s">
        <v>213</v>
      </c>
      <c r="E17" s="153" t="s">
        <v>215</v>
      </c>
      <c r="F17" s="436" t="s">
        <v>242</v>
      </c>
      <c r="G17" s="430">
        <f>75.58+77.17</f>
        <v>152.75</v>
      </c>
      <c r="H17" s="432">
        <v>6.4</v>
      </c>
      <c r="I17" s="434">
        <f>H17*G17</f>
        <v>977.6</v>
      </c>
      <c r="J17" s="434">
        <f>487.94+498.45</f>
        <v>986.39</v>
      </c>
    </row>
    <row r="18" spans="1:10" s="122" customFormat="1" ht="15" customHeight="1" x14ac:dyDescent="0.2">
      <c r="A18" s="425"/>
      <c r="B18" s="428"/>
      <c r="C18" s="429"/>
      <c r="D18" s="154" t="s">
        <v>214</v>
      </c>
      <c r="E18" s="154" t="s">
        <v>216</v>
      </c>
      <c r="F18" s="437"/>
      <c r="G18" s="431"/>
      <c r="H18" s="433"/>
      <c r="I18" s="435"/>
      <c r="J18" s="435"/>
    </row>
    <row r="19" spans="1:10" s="122" customFormat="1" ht="15" customHeight="1" x14ac:dyDescent="0.2">
      <c r="A19" s="424">
        <v>4</v>
      </c>
      <c r="B19" s="426" t="s">
        <v>238</v>
      </c>
      <c r="C19" s="427"/>
      <c r="D19" s="153" t="s">
        <v>219</v>
      </c>
      <c r="E19" s="153" t="s">
        <v>217</v>
      </c>
      <c r="F19" s="436" t="s">
        <v>242</v>
      </c>
      <c r="G19" s="430">
        <f>95.2+162.59</f>
        <v>257.79000000000002</v>
      </c>
      <c r="H19" s="432">
        <v>6.4</v>
      </c>
      <c r="I19" s="434">
        <f t="shared" ref="I19" si="0">H19*G19</f>
        <v>1649.8560000000002</v>
      </c>
      <c r="J19" s="434">
        <v>1659.88</v>
      </c>
    </row>
    <row r="20" spans="1:10" s="122" customFormat="1" ht="15" customHeight="1" x14ac:dyDescent="0.2">
      <c r="A20" s="425"/>
      <c r="B20" s="428"/>
      <c r="C20" s="429"/>
      <c r="D20" s="154" t="s">
        <v>220</v>
      </c>
      <c r="E20" s="154" t="s">
        <v>218</v>
      </c>
      <c r="F20" s="437"/>
      <c r="G20" s="431"/>
      <c r="H20" s="433"/>
      <c r="I20" s="435"/>
      <c r="J20" s="435"/>
    </row>
    <row r="21" spans="1:10" s="122" customFormat="1" ht="15" customHeight="1" x14ac:dyDescent="0.2">
      <c r="A21" s="424">
        <v>5</v>
      </c>
      <c r="B21" s="426" t="s">
        <v>232</v>
      </c>
      <c r="C21" s="427"/>
      <c r="D21" s="153" t="s">
        <v>191</v>
      </c>
      <c r="E21" s="153" t="s">
        <v>193</v>
      </c>
      <c r="F21" s="436" t="s">
        <v>243</v>
      </c>
      <c r="G21" s="430">
        <f>62.67+10.76+76.88+14.38+44.51+113.24</f>
        <v>322.44</v>
      </c>
      <c r="H21" s="432">
        <v>6.4</v>
      </c>
      <c r="I21" s="434">
        <f t="shared" ref="I21" si="1">H21*G21</f>
        <v>2063.616</v>
      </c>
      <c r="J21" s="434">
        <v>2083.11</v>
      </c>
    </row>
    <row r="22" spans="1:10" s="122" customFormat="1" ht="15" customHeight="1" x14ac:dyDescent="0.2">
      <c r="A22" s="425"/>
      <c r="B22" s="428"/>
      <c r="C22" s="429"/>
      <c r="D22" s="155" t="s">
        <v>192</v>
      </c>
      <c r="E22" s="154" t="s">
        <v>193</v>
      </c>
      <c r="F22" s="437"/>
      <c r="G22" s="431"/>
      <c r="H22" s="433"/>
      <c r="I22" s="435"/>
      <c r="J22" s="435"/>
    </row>
    <row r="23" spans="1:10" s="122" customFormat="1" ht="15" customHeight="1" x14ac:dyDescent="0.2">
      <c r="A23" s="424">
        <v>6</v>
      </c>
      <c r="B23" s="426" t="s">
        <v>239</v>
      </c>
      <c r="C23" s="427"/>
      <c r="D23" s="153" t="s">
        <v>221</v>
      </c>
      <c r="E23" s="153" t="s">
        <v>196</v>
      </c>
      <c r="F23" s="436" t="s">
        <v>243</v>
      </c>
      <c r="G23" s="430">
        <f>56.73+63.4+11+81.02</f>
        <v>212.14999999999998</v>
      </c>
      <c r="H23" s="432">
        <v>6.4</v>
      </c>
      <c r="I23" s="434">
        <f t="shared" ref="I23" si="2">H23*G23</f>
        <v>1357.76</v>
      </c>
      <c r="J23" s="434">
        <f>360.97+1004.95</f>
        <v>1365.92</v>
      </c>
    </row>
    <row r="24" spans="1:10" s="122" customFormat="1" ht="15" customHeight="1" x14ac:dyDescent="0.2">
      <c r="A24" s="425"/>
      <c r="B24" s="428"/>
      <c r="C24" s="429"/>
      <c r="D24" s="154" t="s">
        <v>222</v>
      </c>
      <c r="E24" s="154" t="s">
        <v>196</v>
      </c>
      <c r="F24" s="437"/>
      <c r="G24" s="431"/>
      <c r="H24" s="433"/>
      <c r="I24" s="435"/>
      <c r="J24" s="435"/>
    </row>
    <row r="25" spans="1:10" s="122" customFormat="1" ht="15" customHeight="1" x14ac:dyDescent="0.2">
      <c r="A25" s="424">
        <v>7</v>
      </c>
      <c r="B25" s="426" t="s">
        <v>240</v>
      </c>
      <c r="C25" s="427"/>
      <c r="D25" s="153" t="s">
        <v>197</v>
      </c>
      <c r="E25" s="153" t="s">
        <v>199</v>
      </c>
      <c r="F25" s="436" t="s">
        <v>243</v>
      </c>
      <c r="G25" s="430">
        <v>67.02</v>
      </c>
      <c r="H25" s="432">
        <v>6.4</v>
      </c>
      <c r="I25" s="434">
        <f t="shared" ref="I25" si="3">H25*G25</f>
        <v>428.928</v>
      </c>
      <c r="J25" s="434">
        <f>433.99</f>
        <v>433.99</v>
      </c>
    </row>
    <row r="26" spans="1:10" s="122" customFormat="1" ht="15" customHeight="1" x14ac:dyDescent="0.2">
      <c r="A26" s="425"/>
      <c r="B26" s="428"/>
      <c r="C26" s="429"/>
      <c r="D26" s="154" t="s">
        <v>198</v>
      </c>
      <c r="E26" s="154" t="s">
        <v>200</v>
      </c>
      <c r="F26" s="437"/>
      <c r="G26" s="431"/>
      <c r="H26" s="433"/>
      <c r="I26" s="435"/>
      <c r="J26" s="435"/>
    </row>
    <row r="27" spans="1:10" s="122" customFormat="1" ht="15" customHeight="1" x14ac:dyDescent="0.2">
      <c r="A27" s="424">
        <v>8</v>
      </c>
      <c r="B27" s="426" t="s">
        <v>234</v>
      </c>
      <c r="C27" s="427"/>
      <c r="D27" s="153" t="s">
        <v>201</v>
      </c>
      <c r="E27" s="153" t="s">
        <v>203</v>
      </c>
      <c r="F27" s="436" t="s">
        <v>243</v>
      </c>
      <c r="G27" s="430">
        <f>77.43+10.36+78.35</f>
        <v>166.14</v>
      </c>
      <c r="H27" s="432">
        <v>6.4</v>
      </c>
      <c r="I27" s="434">
        <f t="shared" ref="I27" si="4">H27*G27</f>
        <v>1063.296</v>
      </c>
      <c r="J27" s="434">
        <v>1076.1199999999999</v>
      </c>
    </row>
    <row r="28" spans="1:10" s="122" customFormat="1" ht="15" customHeight="1" x14ac:dyDescent="0.2">
      <c r="A28" s="425"/>
      <c r="B28" s="428"/>
      <c r="C28" s="429"/>
      <c r="D28" s="154" t="s">
        <v>202</v>
      </c>
      <c r="E28" s="154" t="s">
        <v>204</v>
      </c>
      <c r="F28" s="437"/>
      <c r="G28" s="431"/>
      <c r="H28" s="433"/>
      <c r="I28" s="435"/>
      <c r="J28" s="435"/>
    </row>
    <row r="29" spans="1:10" s="122" customFormat="1" ht="15" customHeight="1" x14ac:dyDescent="0.2">
      <c r="A29" s="424">
        <v>9</v>
      </c>
      <c r="B29" s="426" t="s">
        <v>235</v>
      </c>
      <c r="C29" s="427"/>
      <c r="D29" s="153" t="s">
        <v>205</v>
      </c>
      <c r="E29" s="153" t="s">
        <v>207</v>
      </c>
      <c r="F29" s="436" t="s">
        <v>243</v>
      </c>
      <c r="G29" s="430">
        <v>99.14</v>
      </c>
      <c r="H29" s="432">
        <v>6.4</v>
      </c>
      <c r="I29" s="434">
        <f t="shared" ref="I29" si="5">H29*G29</f>
        <v>634.49600000000009</v>
      </c>
      <c r="J29" s="434">
        <v>651.23</v>
      </c>
    </row>
    <row r="30" spans="1:10" s="122" customFormat="1" ht="15" customHeight="1" x14ac:dyDescent="0.2">
      <c r="A30" s="425"/>
      <c r="B30" s="428"/>
      <c r="C30" s="429"/>
      <c r="D30" s="154" t="s">
        <v>206</v>
      </c>
      <c r="E30" s="154" t="s">
        <v>208</v>
      </c>
      <c r="F30" s="437"/>
      <c r="G30" s="431"/>
      <c r="H30" s="433"/>
      <c r="I30" s="435"/>
      <c r="J30" s="435"/>
    </row>
    <row r="31" spans="1:10" s="122" customFormat="1" ht="15" customHeight="1" x14ac:dyDescent="0.2">
      <c r="A31" s="424">
        <v>10</v>
      </c>
      <c r="B31" s="426" t="s">
        <v>233</v>
      </c>
      <c r="C31" s="427"/>
      <c r="D31" s="153" t="s">
        <v>209</v>
      </c>
      <c r="E31" s="153" t="s">
        <v>211</v>
      </c>
      <c r="F31" s="436" t="s">
        <v>244</v>
      </c>
      <c r="G31" s="430">
        <f>64.42+9.3+7.36+64.66+53.28+10.14</f>
        <v>209.16000000000003</v>
      </c>
      <c r="H31" s="432">
        <v>6.4</v>
      </c>
      <c r="I31" s="434">
        <f t="shared" ref="I31" si="6">H31*G31</f>
        <v>1338.6240000000003</v>
      </c>
      <c r="J31" s="434">
        <v>1327.13</v>
      </c>
    </row>
    <row r="32" spans="1:10" s="122" customFormat="1" ht="15" customHeight="1" x14ac:dyDescent="0.2">
      <c r="A32" s="425"/>
      <c r="B32" s="428"/>
      <c r="C32" s="429"/>
      <c r="D32" s="154" t="s">
        <v>210</v>
      </c>
      <c r="E32" s="154" t="s">
        <v>212</v>
      </c>
      <c r="F32" s="437"/>
      <c r="G32" s="431"/>
      <c r="H32" s="433"/>
      <c r="I32" s="435"/>
      <c r="J32" s="435"/>
    </row>
    <row r="33" spans="1:10" s="122" customFormat="1" ht="15" customHeight="1" x14ac:dyDescent="0.2">
      <c r="A33" s="424">
        <v>11</v>
      </c>
      <c r="B33" s="426" t="s">
        <v>239</v>
      </c>
      <c r="C33" s="427"/>
      <c r="D33" s="153" t="s">
        <v>225</v>
      </c>
      <c r="E33" s="153" t="s">
        <v>227</v>
      </c>
      <c r="F33" s="436" t="s">
        <v>244</v>
      </c>
      <c r="G33" s="430">
        <f>148.74+100+144.35</f>
        <v>393.09000000000003</v>
      </c>
      <c r="H33" s="432">
        <v>6.4</v>
      </c>
      <c r="I33" s="434">
        <f t="shared" ref="I33" si="7">H33*G33</f>
        <v>2515.7760000000003</v>
      </c>
      <c r="J33" s="434">
        <f>654.35+930.41</f>
        <v>1584.76</v>
      </c>
    </row>
    <row r="34" spans="1:10" s="122" customFormat="1" ht="15" customHeight="1" x14ac:dyDescent="0.2">
      <c r="A34" s="425"/>
      <c r="B34" s="428"/>
      <c r="C34" s="429"/>
      <c r="D34" s="154" t="s">
        <v>226</v>
      </c>
      <c r="E34" s="154" t="s">
        <v>228</v>
      </c>
      <c r="F34" s="437"/>
      <c r="G34" s="431"/>
      <c r="H34" s="433"/>
      <c r="I34" s="435"/>
      <c r="J34" s="435"/>
    </row>
    <row r="35" spans="1:10" s="122" customFormat="1" ht="15" customHeight="1" x14ac:dyDescent="0.2">
      <c r="A35" s="424">
        <v>12</v>
      </c>
      <c r="B35" s="426" t="s">
        <v>387</v>
      </c>
      <c r="C35" s="427"/>
      <c r="D35" s="153" t="s">
        <v>219</v>
      </c>
      <c r="E35" s="153" t="s">
        <v>217</v>
      </c>
      <c r="F35" s="436" t="s">
        <v>244</v>
      </c>
      <c r="G35" s="430">
        <f>109.38</f>
        <v>109.38</v>
      </c>
      <c r="H35" s="432">
        <v>6.4</v>
      </c>
      <c r="I35" s="434">
        <f t="shared" ref="I35" si="8">H35*G35</f>
        <v>700.03200000000004</v>
      </c>
      <c r="J35" s="434">
        <v>713.84</v>
      </c>
    </row>
    <row r="36" spans="1:10" s="122" customFormat="1" ht="15" customHeight="1" x14ac:dyDescent="0.2">
      <c r="A36" s="425"/>
      <c r="B36" s="428"/>
      <c r="C36" s="429"/>
      <c r="D36" s="154" t="s">
        <v>220</v>
      </c>
      <c r="E36" s="154" t="s">
        <v>218</v>
      </c>
      <c r="F36" s="437"/>
      <c r="G36" s="431"/>
      <c r="H36" s="433"/>
      <c r="I36" s="435"/>
      <c r="J36" s="435"/>
    </row>
    <row r="37" spans="1:10" s="122" customFormat="1" ht="15" customHeight="1" x14ac:dyDescent="0.2">
      <c r="A37" s="424">
        <v>13</v>
      </c>
      <c r="B37" s="426" t="s">
        <v>186</v>
      </c>
      <c r="C37" s="427"/>
      <c r="D37" s="153" t="s">
        <v>223</v>
      </c>
      <c r="E37" s="153" t="s">
        <v>229</v>
      </c>
      <c r="F37" s="436" t="s">
        <v>244</v>
      </c>
      <c r="G37" s="430">
        <f>79.8+64.18+2.1+80.11</f>
        <v>226.19</v>
      </c>
      <c r="H37" s="432">
        <v>6.4</v>
      </c>
      <c r="I37" s="434">
        <f t="shared" ref="I37" si="9">H37*G37</f>
        <v>1447.616</v>
      </c>
      <c r="J37" s="434">
        <v>1457.47</v>
      </c>
    </row>
    <row r="38" spans="1:10" s="122" customFormat="1" ht="15" customHeight="1" x14ac:dyDescent="0.2">
      <c r="A38" s="425"/>
      <c r="B38" s="428"/>
      <c r="C38" s="429"/>
      <c r="D38" s="154" t="s">
        <v>224</v>
      </c>
      <c r="E38" s="154" t="s">
        <v>230</v>
      </c>
      <c r="F38" s="437"/>
      <c r="G38" s="431"/>
      <c r="H38" s="433"/>
      <c r="I38" s="435"/>
      <c r="J38" s="435"/>
    </row>
    <row r="39" spans="1:10" s="122" customFormat="1" ht="15" customHeight="1" x14ac:dyDescent="0.2">
      <c r="A39" s="424">
        <v>14</v>
      </c>
      <c r="B39" s="426" t="s">
        <v>188</v>
      </c>
      <c r="C39" s="427"/>
      <c r="D39" s="153" t="s">
        <v>223</v>
      </c>
      <c r="E39" s="153" t="s">
        <v>229</v>
      </c>
      <c r="F39" s="436" t="s">
        <v>244</v>
      </c>
      <c r="G39" s="430">
        <f>97.31</f>
        <v>97.31</v>
      </c>
      <c r="H39" s="432">
        <v>6.4</v>
      </c>
      <c r="I39" s="434">
        <f t="shared" ref="I39" si="10">H39*G39</f>
        <v>622.78400000000011</v>
      </c>
      <c r="J39" s="434">
        <v>623.98</v>
      </c>
    </row>
    <row r="40" spans="1:10" s="122" customFormat="1" ht="15" customHeight="1" x14ac:dyDescent="0.2">
      <c r="A40" s="425"/>
      <c r="B40" s="428"/>
      <c r="C40" s="429"/>
      <c r="D40" s="154" t="s">
        <v>224</v>
      </c>
      <c r="E40" s="154" t="s">
        <v>230</v>
      </c>
      <c r="F40" s="437"/>
      <c r="G40" s="431"/>
      <c r="H40" s="433"/>
      <c r="I40" s="435"/>
      <c r="J40" s="435"/>
    </row>
    <row r="41" spans="1:10" s="122" customFormat="1" ht="15" customHeight="1" x14ac:dyDescent="0.2">
      <c r="A41" s="440" t="s">
        <v>187</v>
      </c>
      <c r="B41" s="441"/>
      <c r="C41" s="441"/>
      <c r="D41" s="441"/>
      <c r="E41" s="441"/>
      <c r="F41" s="161"/>
      <c r="G41" s="156">
        <f>SUM(G13:G40)</f>
        <v>2754.5200000000004</v>
      </c>
      <c r="H41" s="156"/>
      <c r="I41" s="156">
        <f>SUM(I13:I40)</f>
        <v>17628.928</v>
      </c>
      <c r="J41" s="156">
        <f>SUM(J13:J40)</f>
        <v>16801.34</v>
      </c>
    </row>
    <row r="42" spans="1:10" s="122" customFormat="1" ht="15" customHeight="1" x14ac:dyDescent="0.2">
      <c r="A42" s="438"/>
      <c r="B42" s="438"/>
      <c r="C42" s="438"/>
      <c r="D42" s="438"/>
      <c r="E42" s="438"/>
      <c r="F42" s="438"/>
      <c r="G42" s="438"/>
      <c r="H42" s="438"/>
      <c r="I42" s="438"/>
    </row>
    <row r="43" spans="1:10" s="122" customFormat="1" ht="15" customHeight="1" x14ac:dyDescent="0.2">
      <c r="A43" s="439"/>
      <c r="B43" s="439"/>
      <c r="C43" s="439"/>
      <c r="D43" s="439"/>
      <c r="E43" s="439"/>
      <c r="F43" s="439"/>
      <c r="G43" s="439"/>
      <c r="H43" s="439"/>
      <c r="I43" s="439"/>
    </row>
    <row r="44" spans="1:10" s="122" customFormat="1" ht="15" customHeight="1" x14ac:dyDescent="0.25">
      <c r="A44" s="116"/>
      <c r="B44" s="116"/>
      <c r="C44" s="116"/>
      <c r="D44" s="116"/>
      <c r="E44" s="116"/>
      <c r="F44" s="116"/>
      <c r="G44" s="116"/>
      <c r="H44" s="116"/>
      <c r="I44" s="116"/>
    </row>
    <row r="45" spans="1:10" s="122" customFormat="1" ht="15" customHeight="1" x14ac:dyDescent="0.25">
      <c r="A45" s="116"/>
      <c r="B45" s="116"/>
      <c r="C45" s="116"/>
      <c r="D45" s="116"/>
      <c r="E45" s="116"/>
      <c r="F45" s="116"/>
      <c r="G45" s="116"/>
      <c r="H45" s="116"/>
      <c r="I45" s="116"/>
    </row>
    <row r="46" spans="1:10" s="122" customFormat="1" ht="15" customHeight="1" x14ac:dyDescent="0.25">
      <c r="A46" s="116"/>
      <c r="B46" s="116"/>
      <c r="C46" s="116"/>
      <c r="D46" s="116"/>
      <c r="E46" s="116"/>
      <c r="F46" s="116"/>
      <c r="G46" s="116"/>
      <c r="H46" s="116"/>
      <c r="I46" s="116"/>
    </row>
    <row r="47" spans="1:10" s="122" customFormat="1" ht="15" customHeight="1" x14ac:dyDescent="0.25">
      <c r="A47" s="116"/>
      <c r="B47" s="116"/>
      <c r="C47" s="116"/>
      <c r="D47" s="116"/>
      <c r="E47" s="116"/>
      <c r="F47" s="116"/>
      <c r="G47" s="116"/>
      <c r="H47" s="116"/>
      <c r="I47" s="116"/>
    </row>
    <row r="48" spans="1:10" s="122" customFormat="1" ht="15" customHeight="1" x14ac:dyDescent="0.25">
      <c r="A48" s="116"/>
      <c r="B48" s="116"/>
      <c r="C48" s="116"/>
      <c r="D48" s="116"/>
      <c r="E48" s="116"/>
      <c r="F48" s="116"/>
      <c r="G48" s="116"/>
      <c r="H48" s="116"/>
      <c r="I48" s="116"/>
    </row>
    <row r="49" spans="1:9" s="122" customFormat="1" ht="15" customHeight="1" x14ac:dyDescent="0.25">
      <c r="A49" s="116"/>
      <c r="B49" s="116"/>
      <c r="C49" s="116"/>
      <c r="D49" s="116"/>
      <c r="E49" s="116"/>
      <c r="F49" s="116"/>
      <c r="G49" s="116"/>
      <c r="H49" s="116"/>
      <c r="I49" s="116"/>
    </row>
    <row r="50" spans="1:9" s="122" customFormat="1" ht="15" customHeight="1" x14ac:dyDescent="0.25">
      <c r="A50" s="116"/>
      <c r="B50" s="116"/>
      <c r="C50" s="116"/>
      <c r="D50" s="116"/>
      <c r="E50" s="116"/>
      <c r="F50" s="116"/>
      <c r="G50" s="116"/>
      <c r="H50" s="116"/>
      <c r="I50" s="116"/>
    </row>
    <row r="51" spans="1:9" s="122" customFormat="1" ht="15" customHeight="1" x14ac:dyDescent="0.25">
      <c r="A51" s="116"/>
      <c r="B51" s="116"/>
      <c r="C51" s="116"/>
      <c r="D51" s="116"/>
      <c r="E51" s="116"/>
      <c r="F51" s="116"/>
      <c r="G51" s="116"/>
      <c r="H51" s="116"/>
      <c r="I51" s="116"/>
    </row>
    <row r="52" spans="1:9" s="122" customFormat="1" ht="15" customHeight="1" x14ac:dyDescent="0.25">
      <c r="A52" s="116"/>
      <c r="B52" s="116"/>
      <c r="C52" s="116"/>
      <c r="D52" s="116"/>
      <c r="E52" s="116"/>
      <c r="F52" s="116"/>
      <c r="G52" s="116"/>
      <c r="H52" s="116"/>
      <c r="I52" s="116"/>
    </row>
    <row r="53" spans="1:9" s="122" customFormat="1" ht="15" customHeight="1" x14ac:dyDescent="0.25">
      <c r="A53" s="116"/>
      <c r="B53" s="116"/>
      <c r="C53" s="116"/>
      <c r="D53" s="116"/>
      <c r="E53" s="116"/>
      <c r="F53" s="116"/>
      <c r="G53" s="116"/>
      <c r="H53" s="116"/>
      <c r="I53" s="116"/>
    </row>
    <row r="54" spans="1:9" s="122" customFormat="1" ht="15" customHeight="1" x14ac:dyDescent="0.25">
      <c r="A54" s="116"/>
      <c r="B54" s="116"/>
      <c r="C54" s="116"/>
      <c r="D54" s="116"/>
      <c r="E54" s="116"/>
      <c r="F54" s="116"/>
      <c r="G54" s="116"/>
      <c r="H54" s="116"/>
      <c r="I54" s="116"/>
    </row>
    <row r="55" spans="1:9" s="122" customFormat="1" x14ac:dyDescent="0.25">
      <c r="A55" s="116"/>
      <c r="B55" s="116"/>
      <c r="C55" s="116"/>
      <c r="D55" s="116"/>
      <c r="E55" s="116"/>
      <c r="F55" s="116"/>
      <c r="G55" s="116"/>
      <c r="H55" s="116"/>
      <c r="I55" s="116"/>
    </row>
    <row r="56" spans="1:9" s="122" customFormat="1" ht="15" customHeight="1" x14ac:dyDescent="0.25">
      <c r="A56" s="116"/>
      <c r="B56" s="116"/>
      <c r="C56" s="116"/>
      <c r="D56" s="116"/>
      <c r="E56" s="116"/>
      <c r="F56" s="116"/>
      <c r="G56" s="116"/>
      <c r="H56" s="116"/>
      <c r="I56" s="116"/>
    </row>
    <row r="57" spans="1:9" s="122" customFormat="1" ht="15" customHeight="1" x14ac:dyDescent="0.25">
      <c r="A57" s="116"/>
      <c r="B57" s="116"/>
      <c r="C57" s="116"/>
      <c r="D57" s="116"/>
      <c r="E57" s="116"/>
      <c r="F57" s="116"/>
      <c r="G57" s="116"/>
      <c r="H57" s="116"/>
      <c r="I57" s="116"/>
    </row>
    <row r="58" spans="1:9" s="122" customFormat="1" ht="15" customHeight="1" x14ac:dyDescent="0.25">
      <c r="A58" s="116"/>
      <c r="B58" s="116"/>
      <c r="C58" s="116"/>
      <c r="D58" s="116"/>
      <c r="E58" s="116"/>
      <c r="F58" s="116"/>
      <c r="G58" s="116"/>
      <c r="H58" s="116"/>
      <c r="I58" s="116"/>
    </row>
    <row r="59" spans="1:9" s="122" customFormat="1" ht="15" customHeight="1" x14ac:dyDescent="0.25">
      <c r="A59" s="116"/>
      <c r="B59" s="116"/>
      <c r="C59" s="116"/>
      <c r="D59" s="116"/>
      <c r="E59" s="116"/>
      <c r="F59" s="116"/>
      <c r="G59" s="116"/>
      <c r="H59" s="116"/>
      <c r="I59" s="116"/>
    </row>
    <row r="60" spans="1:9" s="122" customFormat="1" ht="15" customHeight="1" x14ac:dyDescent="0.25">
      <c r="A60" s="116"/>
      <c r="B60" s="116"/>
      <c r="C60" s="116"/>
      <c r="D60" s="116"/>
      <c r="E60" s="116"/>
      <c r="F60" s="116"/>
      <c r="G60" s="116"/>
      <c r="H60" s="116"/>
      <c r="I60" s="116"/>
    </row>
    <row r="61" spans="1:9" s="122" customFormat="1" ht="15" customHeight="1" x14ac:dyDescent="0.25">
      <c r="A61" s="116"/>
      <c r="B61" s="116"/>
      <c r="C61" s="116"/>
      <c r="D61" s="116"/>
      <c r="E61" s="116"/>
      <c r="F61" s="116"/>
      <c r="G61" s="116"/>
      <c r="H61" s="116"/>
      <c r="I61" s="116"/>
    </row>
    <row r="62" spans="1:9" s="122" customFormat="1" ht="15" customHeight="1" x14ac:dyDescent="0.25">
      <c r="A62" s="116"/>
      <c r="B62" s="116"/>
      <c r="C62" s="116"/>
      <c r="D62" s="116"/>
      <c r="E62" s="116"/>
      <c r="F62" s="116"/>
      <c r="G62" s="116"/>
      <c r="H62" s="116"/>
      <c r="I62" s="116"/>
    </row>
    <row r="63" spans="1:9" s="122" customFormat="1" ht="15" customHeight="1" x14ac:dyDescent="0.25">
      <c r="A63" s="116"/>
      <c r="B63" s="116"/>
      <c r="C63" s="116"/>
      <c r="D63" s="116"/>
      <c r="E63" s="116"/>
      <c r="F63" s="116"/>
      <c r="G63" s="116"/>
      <c r="H63" s="116"/>
      <c r="I63" s="116"/>
    </row>
    <row r="64" spans="1:9" s="122" customFormat="1" ht="15" customHeight="1" x14ac:dyDescent="0.25">
      <c r="A64" s="116"/>
      <c r="B64" s="116"/>
      <c r="C64" s="116"/>
      <c r="D64" s="116"/>
      <c r="E64" s="116"/>
      <c r="F64" s="116"/>
      <c r="G64" s="116"/>
      <c r="H64" s="116"/>
      <c r="I64" s="116"/>
    </row>
    <row r="65" spans="1:9" s="122" customFormat="1" ht="15" customHeight="1" x14ac:dyDescent="0.25">
      <c r="A65" s="116"/>
      <c r="B65" s="116"/>
      <c r="C65" s="116"/>
      <c r="D65" s="116"/>
      <c r="E65" s="116"/>
      <c r="F65" s="116"/>
      <c r="G65" s="116"/>
      <c r="H65" s="116"/>
      <c r="I65" s="116"/>
    </row>
    <row r="66" spans="1:9" s="122" customFormat="1" ht="15" customHeight="1" x14ac:dyDescent="0.25">
      <c r="A66" s="116"/>
      <c r="B66" s="116"/>
      <c r="C66" s="116"/>
      <c r="D66" s="116"/>
      <c r="E66" s="116"/>
      <c r="F66" s="116"/>
      <c r="G66" s="116"/>
      <c r="H66" s="116"/>
      <c r="I66" s="116"/>
    </row>
    <row r="67" spans="1:9" s="122" customFormat="1" ht="15" customHeight="1" x14ac:dyDescent="0.25">
      <c r="A67" s="116"/>
      <c r="B67" s="116"/>
      <c r="C67" s="116"/>
      <c r="D67" s="116"/>
      <c r="E67" s="116"/>
      <c r="F67" s="116"/>
      <c r="G67" s="116"/>
      <c r="H67" s="116"/>
      <c r="I67" s="116"/>
    </row>
    <row r="68" spans="1:9" s="122" customFormat="1" ht="15" customHeight="1" x14ac:dyDescent="0.25">
      <c r="A68" s="116"/>
      <c r="B68" s="116"/>
      <c r="C68" s="116"/>
      <c r="D68" s="116"/>
      <c r="E68" s="116"/>
      <c r="F68" s="116"/>
      <c r="G68" s="116"/>
      <c r="H68" s="116"/>
      <c r="I68" s="116"/>
    </row>
    <row r="69" spans="1:9" s="122" customFormat="1" ht="15" customHeight="1" x14ac:dyDescent="0.25">
      <c r="A69" s="116"/>
      <c r="B69" s="116"/>
      <c r="C69" s="116"/>
      <c r="D69" s="116"/>
      <c r="E69" s="116"/>
      <c r="F69" s="116"/>
      <c r="G69" s="116"/>
      <c r="H69" s="116"/>
      <c r="I69" s="116"/>
    </row>
    <row r="70" spans="1:9" s="122" customFormat="1" ht="15" customHeight="1" x14ac:dyDescent="0.25">
      <c r="A70" s="116"/>
      <c r="B70" s="116"/>
      <c r="C70" s="116"/>
      <c r="D70" s="116"/>
      <c r="E70" s="116"/>
      <c r="F70" s="116"/>
      <c r="G70" s="116"/>
      <c r="H70" s="116"/>
      <c r="I70" s="116"/>
    </row>
    <row r="71" spans="1:9" s="122" customFormat="1" ht="15" customHeight="1" x14ac:dyDescent="0.25">
      <c r="A71" s="116"/>
      <c r="B71" s="116"/>
      <c r="C71" s="116"/>
      <c r="D71" s="116"/>
      <c r="E71" s="116"/>
      <c r="F71" s="116"/>
      <c r="G71" s="116"/>
      <c r="H71" s="116"/>
      <c r="I71" s="116"/>
    </row>
    <row r="72" spans="1:9" s="122" customFormat="1" ht="15" customHeight="1" x14ac:dyDescent="0.25">
      <c r="A72" s="116"/>
      <c r="B72" s="116"/>
      <c r="C72" s="116"/>
      <c r="D72" s="116"/>
      <c r="E72" s="116"/>
      <c r="F72" s="116"/>
      <c r="G72" s="116"/>
      <c r="H72" s="116"/>
      <c r="I72" s="116"/>
    </row>
    <row r="73" spans="1:9" s="122" customFormat="1" ht="15" customHeight="1" x14ac:dyDescent="0.25">
      <c r="A73" s="116"/>
      <c r="B73" s="116"/>
      <c r="C73" s="116"/>
      <c r="D73" s="116"/>
      <c r="E73" s="116"/>
      <c r="F73" s="116"/>
      <c r="G73" s="116"/>
      <c r="H73" s="116"/>
      <c r="I73" s="116"/>
    </row>
    <row r="74" spans="1:9" s="122" customFormat="1" ht="15" customHeight="1" x14ac:dyDescent="0.25">
      <c r="A74" s="116"/>
      <c r="B74" s="116"/>
      <c r="C74" s="116"/>
      <c r="D74" s="116"/>
      <c r="E74" s="116"/>
      <c r="F74" s="116"/>
      <c r="G74" s="116"/>
      <c r="H74" s="116"/>
      <c r="I74" s="116"/>
    </row>
    <row r="75" spans="1:9" s="122" customFormat="1" x14ac:dyDescent="0.25">
      <c r="A75" s="116"/>
      <c r="B75" s="116"/>
      <c r="C75" s="116"/>
      <c r="D75" s="116"/>
      <c r="E75" s="116"/>
      <c r="F75" s="116"/>
      <c r="G75" s="116"/>
      <c r="H75" s="116"/>
      <c r="I75" s="116"/>
    </row>
    <row r="76" spans="1:9" s="122" customFormat="1" ht="15" customHeight="1" x14ac:dyDescent="0.25">
      <c r="A76" s="116"/>
      <c r="B76" s="116"/>
      <c r="C76" s="116"/>
      <c r="D76" s="116"/>
      <c r="E76" s="116"/>
      <c r="F76" s="116"/>
      <c r="G76" s="116"/>
      <c r="H76" s="116"/>
      <c r="I76" s="116"/>
    </row>
    <row r="77" spans="1:9" s="122" customFormat="1" ht="15" customHeight="1" x14ac:dyDescent="0.25">
      <c r="A77" s="116"/>
      <c r="B77" s="116"/>
      <c r="C77" s="116"/>
      <c r="D77" s="116"/>
      <c r="E77" s="116"/>
      <c r="F77" s="116"/>
      <c r="G77" s="116"/>
      <c r="H77" s="116"/>
      <c r="I77" s="116"/>
    </row>
    <row r="78" spans="1:9" s="122" customFormat="1" ht="15" customHeight="1" x14ac:dyDescent="0.25">
      <c r="A78" s="116"/>
      <c r="B78" s="116"/>
      <c r="C78" s="116"/>
      <c r="D78" s="116"/>
      <c r="E78" s="116"/>
      <c r="F78" s="116"/>
      <c r="G78" s="116"/>
      <c r="H78" s="116"/>
      <c r="I78" s="116"/>
    </row>
    <row r="79" spans="1:9" s="122" customFormat="1" ht="15" customHeight="1" x14ac:dyDescent="0.25">
      <c r="A79" s="116"/>
      <c r="B79" s="116"/>
      <c r="C79" s="116"/>
      <c r="D79" s="116"/>
      <c r="E79" s="116"/>
      <c r="F79" s="116"/>
      <c r="G79" s="116"/>
      <c r="H79" s="116"/>
      <c r="I79" s="116"/>
    </row>
    <row r="80" spans="1:9" s="122" customFormat="1" ht="15" customHeight="1" x14ac:dyDescent="0.25">
      <c r="A80" s="116"/>
      <c r="B80" s="116"/>
      <c r="C80" s="116"/>
      <c r="D80" s="116"/>
      <c r="E80" s="116"/>
      <c r="F80" s="116"/>
      <c r="G80" s="116"/>
      <c r="H80" s="116"/>
      <c r="I80" s="116"/>
    </row>
    <row r="81" spans="1:9" s="122" customFormat="1" ht="15" customHeight="1" x14ac:dyDescent="0.25">
      <c r="A81" s="116"/>
      <c r="B81" s="116"/>
      <c r="C81" s="116"/>
      <c r="D81" s="116"/>
      <c r="E81" s="116"/>
      <c r="F81" s="116"/>
      <c r="G81" s="116"/>
      <c r="H81" s="116"/>
      <c r="I81" s="116"/>
    </row>
    <row r="82" spans="1:9" s="122" customFormat="1" ht="15" customHeight="1" x14ac:dyDescent="0.25">
      <c r="A82" s="116"/>
      <c r="B82" s="116"/>
      <c r="C82" s="116"/>
      <c r="D82" s="116"/>
      <c r="E82" s="116"/>
      <c r="F82" s="116"/>
      <c r="G82" s="116"/>
      <c r="H82" s="116"/>
      <c r="I82" s="116"/>
    </row>
    <row r="83" spans="1:9" s="122" customFormat="1" ht="15" customHeight="1" x14ac:dyDescent="0.25">
      <c r="A83" s="116"/>
      <c r="B83" s="116"/>
      <c r="C83" s="116"/>
      <c r="D83" s="116"/>
      <c r="E83" s="116"/>
      <c r="F83" s="116"/>
      <c r="G83" s="116"/>
      <c r="H83" s="116"/>
      <c r="I83" s="116"/>
    </row>
    <row r="84" spans="1:9" s="122" customFormat="1" ht="15" customHeight="1" x14ac:dyDescent="0.25">
      <c r="A84" s="116"/>
      <c r="B84" s="116"/>
      <c r="C84" s="116"/>
      <c r="D84" s="116"/>
      <c r="E84" s="116"/>
      <c r="F84" s="116"/>
      <c r="G84" s="116"/>
      <c r="H84" s="116"/>
      <c r="I84" s="116"/>
    </row>
    <row r="85" spans="1:9" s="122" customFormat="1" ht="15" customHeight="1" x14ac:dyDescent="0.25">
      <c r="A85" s="116"/>
      <c r="B85" s="116"/>
      <c r="C85" s="116"/>
      <c r="D85" s="116"/>
      <c r="E85" s="116"/>
      <c r="F85" s="116"/>
      <c r="G85" s="116"/>
      <c r="H85" s="116"/>
      <c r="I85" s="116"/>
    </row>
    <row r="86" spans="1:9" s="122" customFormat="1" ht="15" customHeight="1" x14ac:dyDescent="0.25">
      <c r="A86" s="116"/>
      <c r="B86" s="116"/>
      <c r="C86" s="116"/>
      <c r="D86" s="116"/>
      <c r="E86" s="116"/>
      <c r="F86" s="116"/>
      <c r="G86" s="116"/>
      <c r="H86" s="116"/>
      <c r="I86" s="116"/>
    </row>
    <row r="87" spans="1:9" s="122" customFormat="1" ht="15" customHeight="1" x14ac:dyDescent="0.25">
      <c r="A87" s="116"/>
      <c r="B87" s="116"/>
      <c r="C87" s="116"/>
      <c r="D87" s="116"/>
      <c r="E87" s="116"/>
      <c r="F87" s="116"/>
      <c r="G87" s="116"/>
      <c r="H87" s="116"/>
      <c r="I87" s="116"/>
    </row>
    <row r="88" spans="1:9" s="122" customFormat="1" ht="15" customHeight="1" x14ac:dyDescent="0.25">
      <c r="A88" s="116"/>
      <c r="B88" s="116"/>
      <c r="C88" s="116"/>
      <c r="D88" s="116"/>
      <c r="E88" s="116"/>
      <c r="F88" s="116"/>
      <c r="G88" s="116"/>
      <c r="H88" s="116"/>
      <c r="I88" s="116"/>
    </row>
    <row r="89" spans="1:9" s="122" customFormat="1" ht="15" customHeight="1" x14ac:dyDescent="0.25">
      <c r="A89" s="116"/>
      <c r="B89" s="116"/>
      <c r="C89" s="116"/>
      <c r="D89" s="116"/>
      <c r="E89" s="116"/>
      <c r="F89" s="116"/>
      <c r="G89" s="116"/>
      <c r="H89" s="116"/>
      <c r="I89" s="116"/>
    </row>
    <row r="90" spans="1:9" s="122" customFormat="1" ht="15" customHeight="1" x14ac:dyDescent="0.25">
      <c r="A90" s="116"/>
      <c r="B90" s="116"/>
      <c r="C90" s="116"/>
      <c r="D90" s="116"/>
      <c r="E90" s="116"/>
      <c r="F90" s="116"/>
      <c r="G90" s="116"/>
      <c r="H90" s="116"/>
      <c r="I90" s="116"/>
    </row>
    <row r="91" spans="1:9" s="122" customFormat="1" ht="15" customHeight="1" x14ac:dyDescent="0.25">
      <c r="A91" s="116"/>
      <c r="B91" s="116"/>
      <c r="C91" s="116"/>
      <c r="D91" s="116"/>
      <c r="E91" s="116"/>
      <c r="F91" s="116"/>
      <c r="G91" s="116"/>
      <c r="H91" s="116"/>
      <c r="I91" s="116"/>
    </row>
    <row r="92" spans="1:9" s="122" customFormat="1" ht="15" customHeight="1" x14ac:dyDescent="0.25">
      <c r="A92" s="116"/>
      <c r="B92" s="116"/>
      <c r="C92" s="116"/>
      <c r="D92" s="116"/>
      <c r="E92" s="116"/>
      <c r="F92" s="116"/>
      <c r="G92" s="116"/>
      <c r="H92" s="116"/>
      <c r="I92" s="116"/>
    </row>
    <row r="93" spans="1:9" s="122" customFormat="1" ht="15" customHeight="1" x14ac:dyDescent="0.25">
      <c r="A93" s="116"/>
      <c r="B93" s="116"/>
      <c r="C93" s="116"/>
      <c r="D93" s="116"/>
      <c r="E93" s="116"/>
      <c r="F93" s="116"/>
      <c r="G93" s="116"/>
      <c r="H93" s="116"/>
      <c r="I93" s="116"/>
    </row>
    <row r="94" spans="1:9" s="122" customFormat="1" ht="15" customHeight="1" x14ac:dyDescent="0.25">
      <c r="A94" s="116"/>
      <c r="B94" s="116"/>
      <c r="C94" s="116"/>
      <c r="D94" s="116"/>
      <c r="E94" s="116"/>
      <c r="F94" s="116"/>
      <c r="G94" s="116"/>
      <c r="H94" s="116"/>
      <c r="I94" s="116"/>
    </row>
    <row r="95" spans="1:9" s="122" customFormat="1" ht="15" customHeight="1" x14ac:dyDescent="0.25">
      <c r="A95" s="116"/>
      <c r="B95" s="116"/>
      <c r="C95" s="116"/>
      <c r="D95" s="116"/>
      <c r="E95" s="116"/>
      <c r="F95" s="116"/>
      <c r="G95" s="116"/>
      <c r="H95" s="116"/>
      <c r="I95" s="116"/>
    </row>
    <row r="96" spans="1:9" s="122" customFormat="1" ht="15" customHeight="1" x14ac:dyDescent="0.25">
      <c r="A96" s="116"/>
      <c r="B96" s="116"/>
      <c r="C96" s="116"/>
      <c r="D96" s="116"/>
      <c r="E96" s="116"/>
      <c r="F96" s="116"/>
      <c r="G96" s="116"/>
      <c r="H96" s="116"/>
      <c r="I96" s="116"/>
    </row>
    <row r="97" spans="1:9" s="122" customFormat="1" ht="15" customHeight="1" x14ac:dyDescent="0.25">
      <c r="A97" s="116"/>
      <c r="B97" s="116"/>
      <c r="C97" s="116"/>
      <c r="D97" s="116"/>
      <c r="E97" s="116"/>
      <c r="F97" s="116"/>
      <c r="G97" s="116"/>
      <c r="H97" s="116"/>
      <c r="I97" s="116"/>
    </row>
    <row r="98" spans="1:9" s="122" customFormat="1" ht="15" customHeight="1" x14ac:dyDescent="0.25">
      <c r="A98" s="116"/>
      <c r="B98" s="116"/>
      <c r="C98" s="116"/>
      <c r="D98" s="116"/>
      <c r="E98" s="116"/>
      <c r="F98" s="116"/>
      <c r="G98" s="116"/>
      <c r="H98" s="116"/>
      <c r="I98" s="116"/>
    </row>
    <row r="99" spans="1:9" s="122" customFormat="1" ht="15" customHeight="1" x14ac:dyDescent="0.25">
      <c r="A99" s="116"/>
      <c r="B99" s="116"/>
      <c r="C99" s="116"/>
      <c r="D99" s="116"/>
      <c r="E99" s="116"/>
      <c r="F99" s="116"/>
      <c r="G99" s="116"/>
      <c r="H99" s="116"/>
      <c r="I99" s="116"/>
    </row>
    <row r="100" spans="1:9" s="122" customFormat="1" ht="15" customHeight="1" x14ac:dyDescent="0.25">
      <c r="A100" s="116"/>
      <c r="B100" s="116"/>
      <c r="C100" s="116"/>
      <c r="D100" s="116"/>
      <c r="E100" s="116"/>
      <c r="F100" s="116"/>
      <c r="G100" s="116"/>
      <c r="H100" s="116"/>
      <c r="I100" s="116"/>
    </row>
    <row r="101" spans="1:9" s="122" customFormat="1" ht="15" customHeight="1" x14ac:dyDescent="0.25">
      <c r="A101" s="116"/>
      <c r="B101" s="116"/>
      <c r="C101" s="116"/>
      <c r="D101" s="116"/>
      <c r="E101" s="116"/>
      <c r="F101" s="116"/>
      <c r="G101" s="116"/>
      <c r="H101" s="116"/>
      <c r="I101" s="116"/>
    </row>
    <row r="102" spans="1:9" s="122" customFormat="1" ht="15" customHeight="1" x14ac:dyDescent="0.25">
      <c r="A102" s="116"/>
      <c r="B102" s="116"/>
      <c r="C102" s="116"/>
      <c r="D102" s="116"/>
      <c r="E102" s="116"/>
      <c r="F102" s="116"/>
      <c r="G102" s="116"/>
      <c r="H102" s="116"/>
      <c r="I102" s="116"/>
    </row>
    <row r="103" spans="1:9" s="122" customFormat="1" ht="15" customHeight="1" x14ac:dyDescent="0.25">
      <c r="A103" s="116"/>
      <c r="B103" s="116"/>
      <c r="C103" s="116"/>
      <c r="D103" s="116"/>
      <c r="E103" s="116"/>
      <c r="F103" s="116"/>
      <c r="G103" s="116"/>
      <c r="H103" s="116"/>
      <c r="I103" s="116"/>
    </row>
    <row r="104" spans="1:9" s="122" customFormat="1" ht="15" customHeight="1" x14ac:dyDescent="0.25">
      <c r="A104" s="116"/>
      <c r="B104" s="116"/>
      <c r="C104" s="116"/>
      <c r="D104" s="116"/>
      <c r="E104" s="116"/>
      <c r="F104" s="116"/>
      <c r="G104" s="116"/>
      <c r="H104" s="116"/>
      <c r="I104" s="116"/>
    </row>
    <row r="105" spans="1:9" s="122" customFormat="1" ht="15" customHeight="1" x14ac:dyDescent="0.25">
      <c r="A105" s="116"/>
      <c r="B105" s="116"/>
      <c r="C105" s="116"/>
      <c r="D105" s="116"/>
      <c r="E105" s="116"/>
      <c r="F105" s="116"/>
      <c r="G105" s="116"/>
      <c r="H105" s="116"/>
      <c r="I105" s="116"/>
    </row>
    <row r="106" spans="1:9" s="122" customFormat="1" ht="15" customHeight="1" x14ac:dyDescent="0.25">
      <c r="A106" s="116"/>
      <c r="B106" s="116"/>
      <c r="C106" s="116"/>
      <c r="D106" s="116"/>
      <c r="E106" s="116"/>
      <c r="F106" s="116"/>
      <c r="G106" s="116"/>
      <c r="H106" s="116"/>
      <c r="I106" s="116"/>
    </row>
    <row r="107" spans="1:9" s="122" customFormat="1" ht="15" customHeight="1" x14ac:dyDescent="0.25">
      <c r="A107" s="116"/>
      <c r="B107" s="116"/>
      <c r="C107" s="116"/>
      <c r="D107" s="116"/>
      <c r="E107" s="116"/>
      <c r="F107" s="116"/>
      <c r="G107" s="116"/>
      <c r="H107" s="116"/>
      <c r="I107" s="116"/>
    </row>
    <row r="108" spans="1:9" s="122" customFormat="1" ht="15" customHeight="1" x14ac:dyDescent="0.25">
      <c r="A108" s="116"/>
      <c r="B108" s="116"/>
      <c r="C108" s="116"/>
      <c r="D108" s="116"/>
      <c r="E108" s="116"/>
      <c r="F108" s="116"/>
      <c r="G108" s="116"/>
      <c r="H108" s="116"/>
      <c r="I108" s="116"/>
    </row>
    <row r="109" spans="1:9" s="122" customFormat="1" ht="15" customHeight="1" x14ac:dyDescent="0.25">
      <c r="A109" s="116"/>
      <c r="B109" s="116"/>
      <c r="C109" s="116"/>
      <c r="D109" s="116"/>
      <c r="E109" s="116"/>
      <c r="F109" s="116"/>
      <c r="G109" s="116"/>
      <c r="H109" s="116"/>
      <c r="I109" s="116"/>
    </row>
    <row r="110" spans="1:9" s="122" customFormat="1" ht="15" customHeight="1" x14ac:dyDescent="0.25">
      <c r="A110" s="116"/>
      <c r="B110" s="116"/>
      <c r="C110" s="116"/>
      <c r="D110" s="116"/>
      <c r="E110" s="116"/>
      <c r="F110" s="116"/>
      <c r="G110" s="116"/>
      <c r="H110" s="116"/>
      <c r="I110" s="116"/>
    </row>
    <row r="111" spans="1:9" s="122" customFormat="1" ht="15" customHeight="1" x14ac:dyDescent="0.25">
      <c r="A111" s="116"/>
      <c r="B111" s="116"/>
      <c r="C111" s="116"/>
      <c r="D111" s="116"/>
      <c r="E111" s="116"/>
      <c r="F111" s="116"/>
      <c r="G111" s="116"/>
      <c r="H111" s="116"/>
      <c r="I111" s="116"/>
    </row>
    <row r="112" spans="1:9" s="122" customFormat="1" ht="15" customHeight="1" x14ac:dyDescent="0.25">
      <c r="A112" s="116"/>
      <c r="B112" s="116"/>
      <c r="C112" s="116"/>
      <c r="D112" s="116"/>
      <c r="E112" s="116"/>
      <c r="F112" s="116"/>
      <c r="G112" s="116"/>
      <c r="H112" s="116"/>
      <c r="I112" s="116"/>
    </row>
    <row r="113" spans="1:226" s="160" customFormat="1" ht="20.100000000000001" customHeight="1" x14ac:dyDescent="0.25">
      <c r="A113" s="116"/>
      <c r="B113" s="116"/>
      <c r="C113" s="116"/>
      <c r="D113" s="116"/>
      <c r="E113" s="116"/>
      <c r="F113" s="116"/>
      <c r="G113" s="116"/>
      <c r="H113" s="116"/>
      <c r="I113" s="116"/>
      <c r="J113" s="157"/>
      <c r="K113" s="157"/>
      <c r="L113" s="158"/>
      <c r="M113" s="159"/>
      <c r="N113" s="157"/>
      <c r="O113" s="157"/>
      <c r="P113" s="157"/>
      <c r="Q113" s="157"/>
      <c r="R113" s="158"/>
      <c r="S113" s="159"/>
      <c r="T113" s="157"/>
      <c r="U113" s="157"/>
      <c r="V113" s="157"/>
      <c r="W113" s="157"/>
      <c r="X113" s="158"/>
      <c r="Y113" s="159"/>
      <c r="Z113" s="157"/>
      <c r="AA113" s="157"/>
      <c r="AB113" s="157"/>
      <c r="AC113" s="157"/>
      <c r="AD113" s="158"/>
      <c r="AE113" s="159"/>
      <c r="AF113" s="157"/>
      <c r="AG113" s="157"/>
      <c r="AH113" s="157"/>
      <c r="AI113" s="157"/>
      <c r="AJ113" s="158"/>
      <c r="AK113" s="159"/>
      <c r="AL113" s="157"/>
      <c r="AM113" s="157"/>
      <c r="AN113" s="157"/>
      <c r="AO113" s="157"/>
      <c r="AP113" s="158"/>
      <c r="AQ113" s="159"/>
      <c r="AR113" s="157"/>
      <c r="AS113" s="157"/>
      <c r="AT113" s="157"/>
      <c r="AU113" s="157"/>
      <c r="AV113" s="158"/>
      <c r="AW113" s="159"/>
      <c r="AX113" s="157"/>
      <c r="AY113" s="157"/>
      <c r="AZ113" s="157"/>
      <c r="BA113" s="157"/>
      <c r="BB113" s="158"/>
      <c r="BC113" s="159"/>
      <c r="BD113" s="157"/>
      <c r="BE113" s="157"/>
      <c r="BF113" s="157"/>
      <c r="BG113" s="157"/>
      <c r="BH113" s="158"/>
      <c r="BI113" s="159"/>
      <c r="BJ113" s="157"/>
      <c r="BK113" s="157"/>
      <c r="BL113" s="157"/>
      <c r="BM113" s="157"/>
      <c r="BN113" s="158"/>
      <c r="BO113" s="159"/>
      <c r="BP113" s="157"/>
      <c r="BQ113" s="157"/>
      <c r="BR113" s="157"/>
      <c r="BS113" s="157"/>
      <c r="BT113" s="158"/>
      <c r="BU113" s="159"/>
      <c r="BV113" s="157"/>
      <c r="BW113" s="157"/>
      <c r="BX113" s="157"/>
      <c r="BY113" s="157"/>
      <c r="BZ113" s="158"/>
      <c r="CA113" s="159"/>
      <c r="CB113" s="157"/>
      <c r="CC113" s="157"/>
      <c r="CD113" s="157"/>
      <c r="CE113" s="157"/>
      <c r="CF113" s="158"/>
      <c r="CG113" s="159"/>
      <c r="CH113" s="157"/>
      <c r="CI113" s="157"/>
      <c r="CJ113" s="157"/>
      <c r="CK113" s="157"/>
      <c r="CL113" s="158"/>
      <c r="CM113" s="159"/>
      <c r="CN113" s="157"/>
      <c r="CO113" s="157"/>
      <c r="CP113" s="157"/>
      <c r="CQ113" s="157"/>
      <c r="CR113" s="158"/>
      <c r="CS113" s="159"/>
      <c r="CT113" s="157"/>
      <c r="CU113" s="157"/>
      <c r="CV113" s="157"/>
      <c r="CW113" s="157"/>
      <c r="CX113" s="158"/>
      <c r="CY113" s="159"/>
      <c r="CZ113" s="157"/>
      <c r="DA113" s="157"/>
      <c r="DB113" s="157"/>
      <c r="DC113" s="157"/>
      <c r="DD113" s="158"/>
      <c r="DE113" s="159"/>
      <c r="DF113" s="157"/>
      <c r="DG113" s="157"/>
      <c r="DH113" s="157"/>
      <c r="DI113" s="157"/>
      <c r="DJ113" s="158"/>
      <c r="DK113" s="159"/>
      <c r="DL113" s="157"/>
      <c r="DM113" s="157"/>
      <c r="DN113" s="157"/>
      <c r="DO113" s="157"/>
      <c r="DP113" s="158"/>
      <c r="DQ113" s="159"/>
      <c r="DR113" s="157"/>
      <c r="DS113" s="157"/>
      <c r="DT113" s="157"/>
      <c r="DU113" s="157"/>
      <c r="DV113" s="158"/>
      <c r="DW113" s="159"/>
      <c r="DX113" s="157"/>
      <c r="DY113" s="157"/>
      <c r="DZ113" s="157"/>
      <c r="EA113" s="157"/>
      <c r="EB113" s="158"/>
      <c r="EC113" s="159"/>
      <c r="ED113" s="157"/>
      <c r="EE113" s="157"/>
      <c r="EF113" s="157"/>
      <c r="EG113" s="157"/>
      <c r="EH113" s="158"/>
      <c r="EI113" s="159"/>
      <c r="EJ113" s="157"/>
      <c r="EK113" s="157"/>
      <c r="EL113" s="157"/>
      <c r="EM113" s="157"/>
      <c r="EN113" s="158"/>
      <c r="EO113" s="159"/>
      <c r="EP113" s="157"/>
      <c r="EQ113" s="157"/>
      <c r="ER113" s="157"/>
      <c r="ES113" s="157"/>
      <c r="ET113" s="158"/>
      <c r="EU113" s="159"/>
      <c r="EV113" s="157"/>
      <c r="EW113" s="157"/>
      <c r="EX113" s="157"/>
      <c r="EY113" s="157"/>
      <c r="EZ113" s="158"/>
      <c r="FA113" s="159"/>
      <c r="FB113" s="157"/>
      <c r="FC113" s="157"/>
      <c r="FD113" s="157"/>
      <c r="FE113" s="157"/>
      <c r="FF113" s="158"/>
      <c r="FG113" s="159"/>
      <c r="FH113" s="157"/>
      <c r="FI113" s="157"/>
      <c r="FJ113" s="157"/>
      <c r="FK113" s="157"/>
      <c r="FL113" s="158"/>
      <c r="FM113" s="159"/>
      <c r="FN113" s="157"/>
      <c r="FO113" s="157"/>
      <c r="FP113" s="157"/>
      <c r="FQ113" s="157"/>
      <c r="FR113" s="158"/>
      <c r="FS113" s="159"/>
      <c r="FT113" s="157"/>
      <c r="FU113" s="157"/>
      <c r="FV113" s="157"/>
      <c r="FW113" s="157"/>
      <c r="FX113" s="158"/>
      <c r="FY113" s="159"/>
      <c r="FZ113" s="157"/>
      <c r="GA113" s="157"/>
      <c r="GB113" s="157"/>
      <c r="GC113" s="157"/>
      <c r="GD113" s="158"/>
      <c r="GE113" s="159"/>
      <c r="GF113" s="157"/>
      <c r="GG113" s="157"/>
      <c r="GH113" s="157"/>
      <c r="GI113" s="157"/>
      <c r="GJ113" s="158"/>
      <c r="GK113" s="159"/>
      <c r="GL113" s="157"/>
      <c r="GM113" s="157"/>
      <c r="GN113" s="157"/>
      <c r="GO113" s="157"/>
      <c r="GP113" s="158"/>
      <c r="GQ113" s="159"/>
      <c r="GR113" s="157"/>
      <c r="GS113" s="157"/>
      <c r="GT113" s="157"/>
      <c r="GU113" s="157"/>
      <c r="GV113" s="158"/>
      <c r="GW113" s="159"/>
      <c r="GX113" s="157"/>
      <c r="GY113" s="157"/>
      <c r="GZ113" s="157"/>
      <c r="HA113" s="157"/>
      <c r="HB113" s="158"/>
      <c r="HC113" s="159"/>
      <c r="HD113" s="157"/>
      <c r="HE113" s="157"/>
      <c r="HF113" s="157"/>
      <c r="HG113" s="157"/>
      <c r="HH113" s="158"/>
      <c r="HI113" s="159"/>
      <c r="HJ113" s="157"/>
      <c r="HK113" s="157"/>
      <c r="HL113" s="157"/>
      <c r="HM113" s="157"/>
      <c r="HN113" s="158"/>
      <c r="HO113" s="159"/>
      <c r="HP113" s="157"/>
      <c r="HQ113" s="157"/>
      <c r="HR113" s="157"/>
    </row>
  </sheetData>
  <mergeCells count="113">
    <mergeCell ref="J39:J40"/>
    <mergeCell ref="J27:J28"/>
    <mergeCell ref="J29:J30"/>
    <mergeCell ref="J31:J32"/>
    <mergeCell ref="J33:J34"/>
    <mergeCell ref="J35:J36"/>
    <mergeCell ref="J37:J38"/>
    <mergeCell ref="F35:F36"/>
    <mergeCell ref="F37:F38"/>
    <mergeCell ref="F39:F40"/>
    <mergeCell ref="G39:G40"/>
    <mergeCell ref="H39:H40"/>
    <mergeCell ref="I39:I40"/>
    <mergeCell ref="J13:J14"/>
    <mergeCell ref="J15:J16"/>
    <mergeCell ref="J17:J18"/>
    <mergeCell ref="J19:J20"/>
    <mergeCell ref="J21:J22"/>
    <mergeCell ref="J23:J24"/>
    <mergeCell ref="J25:J26"/>
    <mergeCell ref="F15:F16"/>
    <mergeCell ref="F17:F18"/>
    <mergeCell ref="F19:F20"/>
    <mergeCell ref="F21:F22"/>
    <mergeCell ref="F23:F24"/>
    <mergeCell ref="F25:F26"/>
    <mergeCell ref="A13:A14"/>
    <mergeCell ref="B13:C14"/>
    <mergeCell ref="G13:G14"/>
    <mergeCell ref="H13:H14"/>
    <mergeCell ref="I13:I14"/>
    <mergeCell ref="F13:F14"/>
    <mergeCell ref="A42:I43"/>
    <mergeCell ref="A17:A18"/>
    <mergeCell ref="B17:C18"/>
    <mergeCell ref="G17:G18"/>
    <mergeCell ref="H17:H18"/>
    <mergeCell ref="I17:I18"/>
    <mergeCell ref="F27:F28"/>
    <mergeCell ref="F29:F30"/>
    <mergeCell ref="F31:F32"/>
    <mergeCell ref="F33:F34"/>
    <mergeCell ref="A41:E41"/>
    <mergeCell ref="A37:A38"/>
    <mergeCell ref="B37:C38"/>
    <mergeCell ref="G37:G38"/>
    <mergeCell ref="H37:H38"/>
    <mergeCell ref="I37:I38"/>
    <mergeCell ref="A39:A40"/>
    <mergeCell ref="B39:C40"/>
    <mergeCell ref="A33:A34"/>
    <mergeCell ref="B33:C34"/>
    <mergeCell ref="G33:G34"/>
    <mergeCell ref="H33:H34"/>
    <mergeCell ref="I33:I34"/>
    <mergeCell ref="A35:A36"/>
    <mergeCell ref="B35:C36"/>
    <mergeCell ref="G35:G36"/>
    <mergeCell ref="H35:H36"/>
    <mergeCell ref="I35:I36"/>
    <mergeCell ref="A29:A30"/>
    <mergeCell ref="B29:C30"/>
    <mergeCell ref="G29:G30"/>
    <mergeCell ref="H29:H30"/>
    <mergeCell ref="I29:I30"/>
    <mergeCell ref="A31:A32"/>
    <mergeCell ref="B31:C32"/>
    <mergeCell ref="G31:G32"/>
    <mergeCell ref="H31:H32"/>
    <mergeCell ref="I31:I32"/>
    <mergeCell ref="A25:A26"/>
    <mergeCell ref="B25:C26"/>
    <mergeCell ref="G25:G26"/>
    <mergeCell ref="H25:H26"/>
    <mergeCell ref="I25:I26"/>
    <mergeCell ref="A27:A28"/>
    <mergeCell ref="B27:C28"/>
    <mergeCell ref="G27:G28"/>
    <mergeCell ref="H27:H28"/>
    <mergeCell ref="I27:I28"/>
    <mergeCell ref="A21:A22"/>
    <mergeCell ref="B21:C22"/>
    <mergeCell ref="G21:G22"/>
    <mergeCell ref="H21:H22"/>
    <mergeCell ref="I21:I22"/>
    <mergeCell ref="A23:A24"/>
    <mergeCell ref="B23:C24"/>
    <mergeCell ref="G23:G24"/>
    <mergeCell ref="H23:H24"/>
    <mergeCell ref="I23:I24"/>
    <mergeCell ref="A15:A16"/>
    <mergeCell ref="B15:C16"/>
    <mergeCell ref="G15:G16"/>
    <mergeCell ref="H15:H16"/>
    <mergeCell ref="I15:I16"/>
    <mergeCell ref="A19:A20"/>
    <mergeCell ref="B19:C20"/>
    <mergeCell ref="G19:G20"/>
    <mergeCell ref="H19:H20"/>
    <mergeCell ref="I19:I20"/>
    <mergeCell ref="B7:I7"/>
    <mergeCell ref="B8:I8"/>
    <mergeCell ref="B9:I9"/>
    <mergeCell ref="A10:I10"/>
    <mergeCell ref="A11:A12"/>
    <mergeCell ref="B11:C12"/>
    <mergeCell ref="D11:E11"/>
    <mergeCell ref="A1:I1"/>
    <mergeCell ref="A2:I2"/>
    <mergeCell ref="A3:I3"/>
    <mergeCell ref="A4:I4"/>
    <mergeCell ref="A5:I5"/>
    <mergeCell ref="B6:I6"/>
  </mergeCells>
  <printOptions horizontalCentered="1"/>
  <pageMargins left="0.15748031496062992" right="0.19685039370078741" top="0.78740157480314965" bottom="0.78740157480314965" header="0.15748031496062992" footer="0.31496062992125984"/>
  <pageSetup paperSize="9" scale="76" firstPageNumber="25" fitToHeight="0" orientation="landscape" useFirstPageNumber="1" r:id="rId1"/>
  <headerFooter scaleWithDoc="0">
    <oddFooter>&amp;C&amp;"Arial,Negrito"Kaik Eduardo Silva Vilar&amp;"Arial,Normal"
Engenheiro Civil
CREA: 241510947-9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6063E-613E-4CAB-8ABF-6FA52716EF8C}">
  <dimension ref="A1:HW29"/>
  <sheetViews>
    <sheetView showGridLines="0" view="pageBreakPreview" zoomScale="85" zoomScaleNormal="115" zoomScaleSheetLayoutView="85" workbookViewId="0">
      <selection activeCell="R28" sqref="R28"/>
    </sheetView>
  </sheetViews>
  <sheetFormatPr defaultRowHeight="15" x14ac:dyDescent="0.25"/>
  <cols>
    <col min="1" max="1" width="9" style="623"/>
    <col min="2" max="2" width="5.25" style="623" customWidth="1"/>
    <col min="3" max="3" width="35.625" style="623" customWidth="1"/>
    <col min="4" max="6" width="18.125" style="623" customWidth="1"/>
    <col min="7" max="7" width="18.125" style="623" hidden="1" customWidth="1"/>
    <col min="8" max="8" width="19.75" style="623" customWidth="1"/>
    <col min="9" max="11" width="18.125" style="623" customWidth="1"/>
    <col min="12" max="12" width="14.875" style="623" customWidth="1"/>
    <col min="13" max="13" width="12" style="623" customWidth="1"/>
    <col min="14" max="14" width="1.125" style="623" customWidth="1"/>
    <col min="15" max="18" width="9" style="623"/>
    <col min="19" max="19" width="10.625" style="623" customWidth="1"/>
    <col min="20" max="16384" width="9" style="623"/>
  </cols>
  <sheetData>
    <row r="1" spans="1:20" s="11" customFormat="1" ht="7.5" customHeight="1" x14ac:dyDescent="0.25">
      <c r="B1" s="8"/>
      <c r="C1" s="9"/>
      <c r="D1" s="9"/>
      <c r="E1" s="10"/>
      <c r="F1" s="9"/>
      <c r="G1" s="10"/>
      <c r="H1" s="9"/>
      <c r="I1" s="10"/>
      <c r="J1" s="9"/>
      <c r="K1" s="10"/>
      <c r="L1" s="10"/>
      <c r="M1" s="9"/>
      <c r="N1" s="10"/>
      <c r="O1" s="10"/>
      <c r="P1" s="9"/>
      <c r="Q1" s="454"/>
      <c r="R1" s="455"/>
      <c r="S1" s="12"/>
    </row>
    <row r="2" spans="1:20" customFormat="1" ht="18.75" x14ac:dyDescent="0.2">
      <c r="A2" s="456" t="s">
        <v>170</v>
      </c>
      <c r="B2" s="457"/>
      <c r="C2" s="457"/>
      <c r="D2" s="457"/>
      <c r="E2" s="457"/>
      <c r="F2" s="457"/>
      <c r="G2" s="457"/>
      <c r="H2" s="457"/>
      <c r="I2" s="457"/>
      <c r="J2" s="457"/>
      <c r="K2" s="255"/>
      <c r="L2" s="255"/>
      <c r="M2" s="255"/>
      <c r="N2" s="255"/>
      <c r="O2" s="255"/>
      <c r="P2" s="255"/>
      <c r="Q2" s="255"/>
      <c r="R2" s="255"/>
      <c r="S2" s="255"/>
      <c r="T2" s="255"/>
    </row>
    <row r="3" spans="1:20" customFormat="1" ht="15.75" x14ac:dyDescent="0.2">
      <c r="A3" s="325" t="s">
        <v>171</v>
      </c>
      <c r="B3" s="326"/>
      <c r="C3" s="326"/>
      <c r="D3" s="326"/>
      <c r="E3" s="326"/>
      <c r="F3" s="326"/>
      <c r="G3" s="326"/>
      <c r="H3" s="326"/>
      <c r="I3" s="326"/>
      <c r="J3" s="326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20" customFormat="1" ht="14.25" x14ac:dyDescent="0.2">
      <c r="A4" s="328" t="s">
        <v>172</v>
      </c>
      <c r="B4" s="329"/>
      <c r="C4" s="329"/>
      <c r="D4" s="329"/>
      <c r="E4" s="329"/>
      <c r="F4" s="329"/>
      <c r="G4" s="329"/>
      <c r="H4" s="329"/>
      <c r="I4" s="329"/>
      <c r="J4" s="329"/>
      <c r="K4" s="125"/>
      <c r="L4" s="125"/>
      <c r="M4" s="125"/>
      <c r="N4" s="125"/>
      <c r="O4" s="125"/>
      <c r="P4" s="125"/>
      <c r="Q4" s="125"/>
      <c r="R4" s="125"/>
      <c r="S4" s="125"/>
      <c r="T4" s="125"/>
    </row>
    <row r="5" spans="1:20" customFormat="1" ht="14.25" x14ac:dyDescent="0.2">
      <c r="A5" s="328" t="s">
        <v>173</v>
      </c>
      <c r="B5" s="329"/>
      <c r="C5" s="329"/>
      <c r="D5" s="329"/>
      <c r="E5" s="329"/>
      <c r="F5" s="329"/>
      <c r="G5" s="329"/>
      <c r="H5" s="329"/>
      <c r="I5" s="329"/>
      <c r="J5" s="329"/>
      <c r="K5" s="125"/>
      <c r="L5" s="125"/>
      <c r="M5" s="125"/>
      <c r="N5" s="125"/>
      <c r="O5" s="125"/>
      <c r="P5" s="125"/>
      <c r="Q5" s="125"/>
      <c r="R5" s="125"/>
      <c r="S5" s="125"/>
      <c r="T5" s="125"/>
    </row>
    <row r="6" spans="1:20" s="4" customFormat="1" x14ac:dyDescent="0.25">
      <c r="A6" s="24" t="s">
        <v>65</v>
      </c>
      <c r="B6" s="25"/>
      <c r="C6" s="25" t="s">
        <v>66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20" s="4" customFormat="1" x14ac:dyDescent="0.25">
      <c r="A7" s="24" t="s">
        <v>67</v>
      </c>
      <c r="B7" s="25"/>
      <c r="C7" s="25" t="s">
        <v>68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20" s="4" customFormat="1" x14ac:dyDescent="0.25">
      <c r="A8" s="24" t="s">
        <v>69</v>
      </c>
      <c r="B8" s="25"/>
      <c r="C8" s="25" t="s">
        <v>170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20" s="4" customFormat="1" x14ac:dyDescent="0.25">
      <c r="A9" s="24" t="s">
        <v>70</v>
      </c>
      <c r="B9" s="26"/>
      <c r="C9" s="26" t="s">
        <v>411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20" s="619" customFormat="1" ht="22.5" customHeight="1" x14ac:dyDescent="0.2">
      <c r="A10" s="639" t="s">
        <v>419</v>
      </c>
      <c r="B10" s="640"/>
      <c r="C10" s="640"/>
      <c r="D10" s="640"/>
      <c r="E10" s="640"/>
      <c r="F10" s="640"/>
      <c r="G10" s="640"/>
      <c r="H10" s="640"/>
      <c r="I10" s="640"/>
      <c r="J10" s="640"/>
      <c r="K10" s="640"/>
      <c r="L10" s="640"/>
      <c r="M10" s="640"/>
      <c r="N10" s="640"/>
      <c r="O10" s="640"/>
      <c r="P10" s="640"/>
      <c r="Q10" s="640"/>
      <c r="R10" s="640"/>
      <c r="S10" s="640"/>
    </row>
    <row r="11" spans="1:20" s="620" customFormat="1" ht="12.75" customHeight="1" x14ac:dyDescent="0.2">
      <c r="A11" s="445" t="s">
        <v>90</v>
      </c>
      <c r="B11" s="446" t="s">
        <v>177</v>
      </c>
      <c r="C11" s="447"/>
      <c r="D11" s="448" t="s">
        <v>179</v>
      </c>
      <c r="E11" s="450" t="s">
        <v>420</v>
      </c>
      <c r="F11" s="450" t="s">
        <v>421</v>
      </c>
      <c r="G11" s="450" t="s">
        <v>422</v>
      </c>
      <c r="H11" s="450" t="s">
        <v>423</v>
      </c>
      <c r="I11" s="448" t="s">
        <v>181</v>
      </c>
      <c r="J11" s="450" t="s">
        <v>424</v>
      </c>
      <c r="K11" s="450" t="s">
        <v>262</v>
      </c>
      <c r="L11" s="450" t="s">
        <v>426</v>
      </c>
      <c r="M11" s="450" t="s">
        <v>427</v>
      </c>
      <c r="N11" s="625"/>
      <c r="O11" s="451" t="s">
        <v>428</v>
      </c>
      <c r="P11" s="626" t="s">
        <v>429</v>
      </c>
      <c r="Q11" s="626"/>
      <c r="R11" s="626" t="s">
        <v>430</v>
      </c>
      <c r="S11" s="626"/>
    </row>
    <row r="12" spans="1:20" s="620" customFormat="1" ht="25.5" customHeight="1" x14ac:dyDescent="0.2">
      <c r="A12" s="445"/>
      <c r="B12" s="446"/>
      <c r="C12" s="447"/>
      <c r="D12" s="449"/>
      <c r="E12" s="451"/>
      <c r="F12" s="451"/>
      <c r="G12" s="451"/>
      <c r="H12" s="451"/>
      <c r="I12" s="449"/>
      <c r="J12" s="451"/>
      <c r="K12" s="451"/>
      <c r="L12" s="451"/>
      <c r="M12" s="627"/>
      <c r="N12" s="628"/>
      <c r="O12" s="451"/>
      <c r="P12" s="150" t="s">
        <v>289</v>
      </c>
      <c r="Q12" s="307" t="s">
        <v>431</v>
      </c>
      <c r="R12" s="150" t="s">
        <v>289</v>
      </c>
      <c r="S12" s="307" t="s">
        <v>431</v>
      </c>
    </row>
    <row r="13" spans="1:20" s="620" customFormat="1" ht="22.5" customHeight="1" x14ac:dyDescent="0.2">
      <c r="A13" s="417"/>
      <c r="B13" s="420"/>
      <c r="C13" s="421"/>
      <c r="D13" s="152" t="s">
        <v>184</v>
      </c>
      <c r="E13" s="152" t="s">
        <v>184</v>
      </c>
      <c r="F13" s="152" t="s">
        <v>184</v>
      </c>
      <c r="G13" s="152" t="s">
        <v>184</v>
      </c>
      <c r="H13" s="152" t="s">
        <v>184</v>
      </c>
      <c r="I13" s="152" t="s">
        <v>185</v>
      </c>
      <c r="J13" s="152" t="s">
        <v>185</v>
      </c>
      <c r="K13" s="152" t="s">
        <v>185</v>
      </c>
      <c r="L13" s="152" t="s">
        <v>184</v>
      </c>
      <c r="M13" s="152" t="s">
        <v>292</v>
      </c>
      <c r="N13" s="628"/>
      <c r="O13" s="627"/>
      <c r="P13" s="152" t="s">
        <v>293</v>
      </c>
      <c r="Q13" s="152" t="s">
        <v>432</v>
      </c>
      <c r="R13" s="152" t="s">
        <v>293</v>
      </c>
      <c r="S13" s="152" t="s">
        <v>432</v>
      </c>
    </row>
    <row r="14" spans="1:20" s="620" customFormat="1" ht="20.100000000000001" customHeight="1" x14ac:dyDescent="0.2">
      <c r="A14" s="164">
        <v>1</v>
      </c>
      <c r="B14" s="442" t="str">
        <f>IMPRIMAÇÃO!B14</f>
        <v>ALAMEDA DAS GARRINCHAS</v>
      </c>
      <c r="C14" s="443"/>
      <c r="D14" s="221">
        <f>IMPRIMAÇÃO!D14</f>
        <v>222.42</v>
      </c>
      <c r="E14" s="177">
        <v>0.3</v>
      </c>
      <c r="F14" s="177">
        <v>0.15</v>
      </c>
      <c r="G14" s="177">
        <v>0</v>
      </c>
      <c r="H14" s="186">
        <v>6.4</v>
      </c>
      <c r="I14" s="221">
        <f>H14*D14</f>
        <v>1423.4880000000001</v>
      </c>
      <c r="J14" s="221">
        <f>IMPRIMAÇÃO!G14</f>
        <v>16.760000000000002</v>
      </c>
      <c r="K14" s="178">
        <f>J14+I14</f>
        <v>1440.248</v>
      </c>
      <c r="L14" s="176">
        <v>0.1</v>
      </c>
      <c r="M14" s="630">
        <f>L14*K14</f>
        <v>144.0248</v>
      </c>
      <c r="N14" s="631"/>
      <c r="O14" s="176">
        <v>1.1499999999999999</v>
      </c>
      <c r="P14" s="176">
        <v>0</v>
      </c>
      <c r="Q14" s="630">
        <v>0</v>
      </c>
      <c r="R14" s="176">
        <v>2</v>
      </c>
      <c r="S14" s="630">
        <f>R14*M14*O14</f>
        <v>331.25703999999996</v>
      </c>
    </row>
    <row r="15" spans="1:20" s="620" customFormat="1" ht="20.100000000000001" customHeight="1" x14ac:dyDescent="0.2">
      <c r="A15" s="164">
        <v>2</v>
      </c>
      <c r="B15" s="442" t="str">
        <f>IMPRIMAÇÃO!B15</f>
        <v>RUA MARIA DE LOURDES VIEIRA</v>
      </c>
      <c r="C15" s="443"/>
      <c r="D15" s="221">
        <f>IMPRIMAÇÃO!D15</f>
        <v>219.54000000000002</v>
      </c>
      <c r="E15" s="177">
        <v>0.3</v>
      </c>
      <c r="F15" s="177">
        <v>0.15</v>
      </c>
      <c r="G15" s="177">
        <v>0</v>
      </c>
      <c r="H15" s="186">
        <v>6.4</v>
      </c>
      <c r="I15" s="221">
        <f t="shared" ref="I15:I27" si="0">H15*D15</f>
        <v>1405.0560000000003</v>
      </c>
      <c r="J15" s="221">
        <f>IMPRIMAÇÃO!G15</f>
        <v>17.100000000000001</v>
      </c>
      <c r="K15" s="178">
        <f t="shared" ref="K15:K27" si="1">J15+I15</f>
        <v>1422.1560000000002</v>
      </c>
      <c r="L15" s="176">
        <v>0.1</v>
      </c>
      <c r="M15" s="630">
        <f t="shared" ref="M15:M27" si="2">L15*K15</f>
        <v>142.21560000000002</v>
      </c>
      <c r="N15" s="631"/>
      <c r="O15" s="176">
        <v>1.1499999999999999</v>
      </c>
      <c r="P15" s="176">
        <v>0</v>
      </c>
      <c r="Q15" s="630">
        <v>0</v>
      </c>
      <c r="R15" s="176">
        <v>2</v>
      </c>
      <c r="S15" s="630">
        <f t="shared" ref="S15:S27" si="3">R15*M15*O15</f>
        <v>327.09588000000002</v>
      </c>
    </row>
    <row r="16" spans="1:20" s="620" customFormat="1" ht="20.100000000000001" customHeight="1" x14ac:dyDescent="0.2">
      <c r="A16" s="164">
        <v>3</v>
      </c>
      <c r="B16" s="442" t="str">
        <f>IMPRIMAÇÃO!B16</f>
        <v>AV. JUVENTINO CIPRIANO DA EXALTAÇÃO</v>
      </c>
      <c r="C16" s="443"/>
      <c r="D16" s="221">
        <f>IMPRIMAÇÃO!D16</f>
        <v>152.75</v>
      </c>
      <c r="E16" s="177">
        <v>0.3</v>
      </c>
      <c r="F16" s="177">
        <v>0.15</v>
      </c>
      <c r="G16" s="177">
        <v>0</v>
      </c>
      <c r="H16" s="186">
        <v>6.4</v>
      </c>
      <c r="I16" s="221">
        <f t="shared" si="0"/>
        <v>977.6</v>
      </c>
      <c r="J16" s="221">
        <f>IMPRIMAÇÃO!G16</f>
        <v>16.989999999999998</v>
      </c>
      <c r="K16" s="178">
        <f t="shared" si="1"/>
        <v>994.59</v>
      </c>
      <c r="L16" s="176">
        <v>0.1</v>
      </c>
      <c r="M16" s="630">
        <f t="shared" si="2"/>
        <v>99.459000000000003</v>
      </c>
      <c r="N16" s="631"/>
      <c r="O16" s="176">
        <v>1.1499999999999999</v>
      </c>
      <c r="P16" s="176">
        <v>0</v>
      </c>
      <c r="Q16" s="630">
        <v>0</v>
      </c>
      <c r="R16" s="176">
        <v>2</v>
      </c>
      <c r="S16" s="630">
        <f t="shared" si="3"/>
        <v>228.75569999999999</v>
      </c>
    </row>
    <row r="17" spans="1:231" s="620" customFormat="1" ht="20.100000000000001" customHeight="1" x14ac:dyDescent="0.2">
      <c r="A17" s="164">
        <v>4</v>
      </c>
      <c r="B17" s="442" t="str">
        <f>IMPRIMAÇÃO!B17</f>
        <v>AV. DRº RUI EVANGELISTA DA EXALTAÇÃO</v>
      </c>
      <c r="C17" s="443"/>
      <c r="D17" s="221">
        <f>IMPRIMAÇÃO!D17</f>
        <v>257.79000000000002</v>
      </c>
      <c r="E17" s="177">
        <v>0.3</v>
      </c>
      <c r="F17" s="177">
        <v>0.15</v>
      </c>
      <c r="G17" s="177">
        <v>0</v>
      </c>
      <c r="H17" s="186">
        <v>6.4</v>
      </c>
      <c r="I17" s="221">
        <f t="shared" si="0"/>
        <v>1649.8560000000002</v>
      </c>
      <c r="J17" s="221">
        <f>IMPRIMAÇÃO!G17</f>
        <v>0</v>
      </c>
      <c r="K17" s="178">
        <f t="shared" si="1"/>
        <v>1649.8560000000002</v>
      </c>
      <c r="L17" s="176">
        <v>0.1</v>
      </c>
      <c r="M17" s="630">
        <f t="shared" si="2"/>
        <v>164.98560000000003</v>
      </c>
      <c r="N17" s="631"/>
      <c r="O17" s="176">
        <v>1.1499999999999999</v>
      </c>
      <c r="P17" s="176">
        <v>0</v>
      </c>
      <c r="Q17" s="630">
        <v>0</v>
      </c>
      <c r="R17" s="176">
        <v>2</v>
      </c>
      <c r="S17" s="630">
        <f t="shared" si="3"/>
        <v>379.46688000000006</v>
      </c>
    </row>
    <row r="18" spans="1:231" s="620" customFormat="1" ht="20.100000000000001" customHeight="1" x14ac:dyDescent="0.2">
      <c r="A18" s="164">
        <v>5</v>
      </c>
      <c r="B18" s="442" t="str">
        <f>IMPRIMAÇÃO!B18</f>
        <v>RUA MIRO HENRIQUE VIEIRA FREIRE</v>
      </c>
      <c r="C18" s="443"/>
      <c r="D18" s="221">
        <f>IMPRIMAÇÃO!D18</f>
        <v>322.44</v>
      </c>
      <c r="E18" s="177">
        <v>0.3</v>
      </c>
      <c r="F18" s="177">
        <v>0.15</v>
      </c>
      <c r="G18" s="177">
        <v>0</v>
      </c>
      <c r="H18" s="186">
        <v>6.4</v>
      </c>
      <c r="I18" s="221">
        <f t="shared" si="0"/>
        <v>2063.616</v>
      </c>
      <c r="J18" s="221">
        <f>IMPRIMAÇÃO!G18</f>
        <v>16.989999999999998</v>
      </c>
      <c r="K18" s="178">
        <f t="shared" si="1"/>
        <v>2080.6059999999998</v>
      </c>
      <c r="L18" s="176">
        <v>0.1</v>
      </c>
      <c r="M18" s="630">
        <f t="shared" si="2"/>
        <v>208.06059999999999</v>
      </c>
      <c r="N18" s="631"/>
      <c r="O18" s="176">
        <v>1.1499999999999999</v>
      </c>
      <c r="P18" s="176">
        <v>0</v>
      </c>
      <c r="Q18" s="630">
        <v>0</v>
      </c>
      <c r="R18" s="176">
        <v>2</v>
      </c>
      <c r="S18" s="630">
        <f t="shared" si="3"/>
        <v>478.53937999999994</v>
      </c>
    </row>
    <row r="19" spans="1:231" s="620" customFormat="1" ht="20.100000000000001" customHeight="1" x14ac:dyDescent="0.2">
      <c r="A19" s="164">
        <v>6</v>
      </c>
      <c r="B19" s="442" t="str">
        <f>IMPRIMAÇÃO!B19</f>
        <v>RUA MARIA MARTA VIEIRA</v>
      </c>
      <c r="C19" s="443"/>
      <c r="D19" s="221">
        <f>IMPRIMAÇÃO!D19</f>
        <v>212.14999999999998</v>
      </c>
      <c r="E19" s="177">
        <v>0.3</v>
      </c>
      <c r="F19" s="177">
        <v>0.15</v>
      </c>
      <c r="G19" s="177">
        <v>0</v>
      </c>
      <c r="H19" s="186">
        <v>6.4</v>
      </c>
      <c r="I19" s="221">
        <f t="shared" si="0"/>
        <v>1357.76</v>
      </c>
      <c r="J19" s="221">
        <f>IMPRIMAÇÃO!G19</f>
        <v>0</v>
      </c>
      <c r="K19" s="178">
        <f t="shared" si="1"/>
        <v>1357.76</v>
      </c>
      <c r="L19" s="176">
        <v>0.1</v>
      </c>
      <c r="M19" s="630">
        <f t="shared" si="2"/>
        <v>135.77600000000001</v>
      </c>
      <c r="N19" s="631"/>
      <c r="O19" s="176">
        <v>1.1499999999999999</v>
      </c>
      <c r="P19" s="176">
        <v>0</v>
      </c>
      <c r="Q19" s="630">
        <v>0</v>
      </c>
      <c r="R19" s="176">
        <v>2</v>
      </c>
      <c r="S19" s="630">
        <f t="shared" si="3"/>
        <v>312.28480000000002</v>
      </c>
    </row>
    <row r="20" spans="1:231" s="620" customFormat="1" ht="20.100000000000001" customHeight="1" x14ac:dyDescent="0.2">
      <c r="A20" s="164">
        <v>7</v>
      </c>
      <c r="B20" s="442" t="str">
        <f>IMPRIMAÇÃO!B20</f>
        <v>AV. DIONITA JUVENAL DA EXALTAÇÃO</v>
      </c>
      <c r="C20" s="443"/>
      <c r="D20" s="221">
        <f>IMPRIMAÇÃO!D20</f>
        <v>67.02</v>
      </c>
      <c r="E20" s="177">
        <v>0.3</v>
      </c>
      <c r="F20" s="177">
        <v>0.15</v>
      </c>
      <c r="G20" s="177">
        <v>0</v>
      </c>
      <c r="H20" s="186">
        <v>6.4</v>
      </c>
      <c r="I20" s="221">
        <f t="shared" si="0"/>
        <v>428.928</v>
      </c>
      <c r="J20" s="221">
        <f>IMPRIMAÇÃO!G20</f>
        <v>23.14</v>
      </c>
      <c r="K20" s="178">
        <f t="shared" si="1"/>
        <v>452.06799999999998</v>
      </c>
      <c r="L20" s="176">
        <v>0.1</v>
      </c>
      <c r="M20" s="630">
        <f t="shared" si="2"/>
        <v>45.206800000000001</v>
      </c>
      <c r="N20" s="631"/>
      <c r="O20" s="176">
        <v>1.1499999999999999</v>
      </c>
      <c r="P20" s="176">
        <v>0</v>
      </c>
      <c r="Q20" s="630">
        <v>0</v>
      </c>
      <c r="R20" s="176">
        <v>2</v>
      </c>
      <c r="S20" s="630">
        <f t="shared" si="3"/>
        <v>103.97564</v>
      </c>
    </row>
    <row r="21" spans="1:231" s="620" customFormat="1" ht="20.100000000000001" customHeight="1" x14ac:dyDescent="0.2">
      <c r="A21" s="164">
        <v>8</v>
      </c>
      <c r="B21" s="442" t="str">
        <f>IMPRIMAÇÃO!B21</f>
        <v>AV. EDUARDO VIEIRA</v>
      </c>
      <c r="C21" s="443"/>
      <c r="D21" s="221">
        <f>IMPRIMAÇÃO!D21</f>
        <v>166.14</v>
      </c>
      <c r="E21" s="177">
        <v>0.3</v>
      </c>
      <c r="F21" s="177">
        <v>0.15</v>
      </c>
      <c r="G21" s="177"/>
      <c r="H21" s="186">
        <v>6.4</v>
      </c>
      <c r="I21" s="221">
        <f t="shared" si="0"/>
        <v>1063.296</v>
      </c>
      <c r="J21" s="221">
        <f>IMPRIMAÇÃO!G21</f>
        <v>35.46</v>
      </c>
      <c r="K21" s="178">
        <f t="shared" si="1"/>
        <v>1098.7560000000001</v>
      </c>
      <c r="L21" s="176">
        <v>0.1</v>
      </c>
      <c r="M21" s="630">
        <f t="shared" si="2"/>
        <v>109.87560000000002</v>
      </c>
      <c r="N21" s="631"/>
      <c r="O21" s="176">
        <v>1.1499999999999999</v>
      </c>
      <c r="P21" s="176">
        <v>0</v>
      </c>
      <c r="Q21" s="630">
        <v>0</v>
      </c>
      <c r="R21" s="176">
        <v>2</v>
      </c>
      <c r="S21" s="630">
        <f t="shared" si="3"/>
        <v>252.71388000000002</v>
      </c>
    </row>
    <row r="22" spans="1:231" s="620" customFormat="1" ht="20.100000000000001" customHeight="1" x14ac:dyDescent="0.2">
      <c r="A22" s="164">
        <v>9</v>
      </c>
      <c r="B22" s="442" t="str">
        <f>IMPRIMAÇÃO!B22</f>
        <v>TRAVESSA A</v>
      </c>
      <c r="C22" s="443"/>
      <c r="D22" s="221">
        <f>IMPRIMAÇÃO!D22</f>
        <v>99.14</v>
      </c>
      <c r="E22" s="177">
        <v>0.3</v>
      </c>
      <c r="F22" s="177">
        <v>0.15</v>
      </c>
      <c r="G22" s="177"/>
      <c r="H22" s="186">
        <v>6.4</v>
      </c>
      <c r="I22" s="221">
        <f t="shared" si="0"/>
        <v>634.49600000000009</v>
      </c>
      <c r="J22" s="221">
        <f>IMPRIMAÇÃO!G22</f>
        <v>0</v>
      </c>
      <c r="K22" s="178">
        <f t="shared" si="1"/>
        <v>634.49600000000009</v>
      </c>
      <c r="L22" s="176">
        <v>0.1</v>
      </c>
      <c r="M22" s="630">
        <f t="shared" si="2"/>
        <v>63.449600000000011</v>
      </c>
      <c r="N22" s="631"/>
      <c r="O22" s="176">
        <v>1.1499999999999999</v>
      </c>
      <c r="P22" s="176">
        <v>0</v>
      </c>
      <c r="Q22" s="630">
        <v>0</v>
      </c>
      <c r="R22" s="176">
        <v>2</v>
      </c>
      <c r="S22" s="630">
        <f t="shared" si="3"/>
        <v>145.93408000000002</v>
      </c>
    </row>
    <row r="23" spans="1:231" s="620" customFormat="1" ht="20.100000000000001" customHeight="1" x14ac:dyDescent="0.2">
      <c r="A23" s="164">
        <v>10</v>
      </c>
      <c r="B23" s="442" t="str">
        <f>IMPRIMAÇÃO!B23</f>
        <v>RUA CAETÊ</v>
      </c>
      <c r="C23" s="443"/>
      <c r="D23" s="221">
        <f>IMPRIMAÇÃO!D23</f>
        <v>209.16000000000003</v>
      </c>
      <c r="E23" s="177">
        <v>0.3</v>
      </c>
      <c r="F23" s="177">
        <v>0.15</v>
      </c>
      <c r="G23" s="177"/>
      <c r="H23" s="186">
        <v>6.4</v>
      </c>
      <c r="I23" s="221">
        <f t="shared" si="0"/>
        <v>1338.6240000000003</v>
      </c>
      <c r="J23" s="221">
        <f>IMPRIMAÇÃO!G23</f>
        <v>0</v>
      </c>
      <c r="K23" s="178">
        <f t="shared" si="1"/>
        <v>1338.6240000000003</v>
      </c>
      <c r="L23" s="176">
        <v>0.1</v>
      </c>
      <c r="M23" s="630">
        <f t="shared" si="2"/>
        <v>133.86240000000004</v>
      </c>
      <c r="N23" s="631"/>
      <c r="O23" s="176">
        <v>1.1499999999999999</v>
      </c>
      <c r="P23" s="176">
        <v>0</v>
      </c>
      <c r="Q23" s="630">
        <v>0</v>
      </c>
      <c r="R23" s="176">
        <v>2</v>
      </c>
      <c r="S23" s="630">
        <f t="shared" si="3"/>
        <v>307.88352000000003</v>
      </c>
    </row>
    <row r="24" spans="1:231" s="620" customFormat="1" ht="20.100000000000001" customHeight="1" x14ac:dyDescent="0.2">
      <c r="A24" s="164">
        <v>11</v>
      </c>
      <c r="B24" s="442" t="str">
        <f>IMPRIMAÇÃO!B24</f>
        <v>RUA MARIA MARTA VIEIRA</v>
      </c>
      <c r="C24" s="443"/>
      <c r="D24" s="221">
        <f>IMPRIMAÇÃO!D24</f>
        <v>393.09000000000003</v>
      </c>
      <c r="E24" s="177">
        <v>0.3</v>
      </c>
      <c r="F24" s="177">
        <v>0.15</v>
      </c>
      <c r="G24" s="177"/>
      <c r="H24" s="186">
        <v>6.4</v>
      </c>
      <c r="I24" s="221">
        <f t="shared" si="0"/>
        <v>2515.7760000000003</v>
      </c>
      <c r="J24" s="221">
        <f>IMPRIMAÇÃO!G24</f>
        <v>0</v>
      </c>
      <c r="K24" s="178">
        <f t="shared" si="1"/>
        <v>2515.7760000000003</v>
      </c>
      <c r="L24" s="176">
        <v>0.1</v>
      </c>
      <c r="M24" s="630">
        <f t="shared" si="2"/>
        <v>251.57760000000005</v>
      </c>
      <c r="N24" s="631"/>
      <c r="O24" s="176">
        <v>1.1499999999999999</v>
      </c>
      <c r="P24" s="176">
        <v>0</v>
      </c>
      <c r="Q24" s="630">
        <v>0</v>
      </c>
      <c r="R24" s="176">
        <v>2</v>
      </c>
      <c r="S24" s="630">
        <f t="shared" si="3"/>
        <v>578.62848000000008</v>
      </c>
    </row>
    <row r="25" spans="1:231" s="620" customFormat="1" ht="20.100000000000001" customHeight="1" x14ac:dyDescent="0.2">
      <c r="A25" s="164">
        <v>12</v>
      </c>
      <c r="B25" s="442" t="str">
        <f>IMPRIMAÇÃO!B25</f>
        <v>RUA 02</v>
      </c>
      <c r="C25" s="443"/>
      <c r="D25" s="221">
        <f>IMPRIMAÇÃO!D25</f>
        <v>109.38</v>
      </c>
      <c r="E25" s="177">
        <v>0.3</v>
      </c>
      <c r="F25" s="177">
        <v>0.15</v>
      </c>
      <c r="G25" s="177"/>
      <c r="H25" s="186">
        <v>6.4</v>
      </c>
      <c r="I25" s="221">
        <f t="shared" si="0"/>
        <v>700.03200000000004</v>
      </c>
      <c r="J25" s="221">
        <f>IMPRIMAÇÃO!G25</f>
        <v>17.11</v>
      </c>
      <c r="K25" s="178">
        <f t="shared" si="1"/>
        <v>717.14200000000005</v>
      </c>
      <c r="L25" s="176">
        <v>0.1</v>
      </c>
      <c r="M25" s="630">
        <f t="shared" si="2"/>
        <v>71.714200000000005</v>
      </c>
      <c r="N25" s="631"/>
      <c r="O25" s="176">
        <v>1.1499999999999999</v>
      </c>
      <c r="P25" s="176">
        <v>0</v>
      </c>
      <c r="Q25" s="630">
        <v>0</v>
      </c>
      <c r="R25" s="176">
        <v>2</v>
      </c>
      <c r="S25" s="630">
        <f t="shared" si="3"/>
        <v>164.94265999999999</v>
      </c>
    </row>
    <row r="26" spans="1:231" s="620" customFormat="1" ht="20.100000000000001" customHeight="1" x14ac:dyDescent="0.2">
      <c r="A26" s="164">
        <v>13</v>
      </c>
      <c r="B26" s="442" t="str">
        <f>IMPRIMAÇÃO!B26</f>
        <v>RUA E</v>
      </c>
      <c r="C26" s="443"/>
      <c r="D26" s="221">
        <f>IMPRIMAÇÃO!D26</f>
        <v>226.19</v>
      </c>
      <c r="E26" s="177">
        <v>0.3</v>
      </c>
      <c r="F26" s="177">
        <v>0.15</v>
      </c>
      <c r="G26" s="177"/>
      <c r="H26" s="186">
        <v>6.4</v>
      </c>
      <c r="I26" s="221">
        <f t="shared" si="0"/>
        <v>1447.616</v>
      </c>
      <c r="J26" s="221">
        <f>IMPRIMAÇÃO!G26</f>
        <v>17.68</v>
      </c>
      <c r="K26" s="178">
        <f t="shared" si="1"/>
        <v>1465.296</v>
      </c>
      <c r="L26" s="176">
        <v>0.1</v>
      </c>
      <c r="M26" s="630">
        <f t="shared" si="2"/>
        <v>146.52960000000002</v>
      </c>
      <c r="N26" s="631"/>
      <c r="O26" s="176">
        <v>1.1499999999999999</v>
      </c>
      <c r="P26" s="176">
        <v>0</v>
      </c>
      <c r="Q26" s="630">
        <v>0</v>
      </c>
      <c r="R26" s="176">
        <v>2</v>
      </c>
      <c r="S26" s="630">
        <f t="shared" si="3"/>
        <v>337.01808</v>
      </c>
    </row>
    <row r="27" spans="1:231" s="620" customFormat="1" ht="20.100000000000001" customHeight="1" x14ac:dyDescent="0.2">
      <c r="A27" s="164">
        <v>14</v>
      </c>
      <c r="B27" s="442" t="str">
        <f>IMPRIMAÇÃO!B27</f>
        <v>TV ALTO PARAISO</v>
      </c>
      <c r="C27" s="443"/>
      <c r="D27" s="221">
        <f>IMPRIMAÇÃO!D27</f>
        <v>97.31</v>
      </c>
      <c r="E27" s="177">
        <v>0.3</v>
      </c>
      <c r="F27" s="177">
        <v>0.15</v>
      </c>
      <c r="G27" s="177"/>
      <c r="H27" s="186">
        <v>6.4</v>
      </c>
      <c r="I27" s="221">
        <f t="shared" si="0"/>
        <v>622.78400000000011</v>
      </c>
      <c r="J27" s="221">
        <f>IMPRIMAÇÃO!G27</f>
        <v>0</v>
      </c>
      <c r="K27" s="178">
        <f t="shared" si="1"/>
        <v>622.78400000000011</v>
      </c>
      <c r="L27" s="176">
        <v>0.1</v>
      </c>
      <c r="M27" s="630">
        <f t="shared" si="2"/>
        <v>62.278400000000012</v>
      </c>
      <c r="N27" s="631"/>
      <c r="O27" s="176">
        <v>1.1499999999999999</v>
      </c>
      <c r="P27" s="176">
        <v>0</v>
      </c>
      <c r="Q27" s="630">
        <v>0</v>
      </c>
      <c r="R27" s="176">
        <v>2</v>
      </c>
      <c r="S27" s="630">
        <f t="shared" si="3"/>
        <v>143.24032000000003</v>
      </c>
    </row>
    <row r="28" spans="1:231" s="622" customFormat="1" ht="20.100000000000001" customHeight="1" x14ac:dyDescent="0.2">
      <c r="A28" s="452" t="s">
        <v>187</v>
      </c>
      <c r="B28" s="453"/>
      <c r="C28" s="453"/>
      <c r="D28" s="156">
        <f>SUM(D14:D27)</f>
        <v>2754.5200000000004</v>
      </c>
      <c r="E28" s="621"/>
      <c r="F28" s="621"/>
      <c r="G28" s="621"/>
      <c r="H28" s="225"/>
      <c r="I28" s="156">
        <f>SUM(I14:I27)</f>
        <v>17628.928</v>
      </c>
      <c r="J28" s="156">
        <f>SUM(J14:J27)</f>
        <v>161.23000000000002</v>
      </c>
      <c r="K28" s="156">
        <f>SUM(K14:K27)</f>
        <v>17790.157999999999</v>
      </c>
      <c r="L28" s="156"/>
      <c r="M28" s="156">
        <f>SUM(M14:M27)</f>
        <v>1779.0158000000001</v>
      </c>
      <c r="N28" s="633"/>
      <c r="O28" s="156"/>
      <c r="P28" s="156"/>
      <c r="Q28" s="632">
        <v>0</v>
      </c>
      <c r="R28" s="156"/>
      <c r="S28" s="156">
        <f>SUM(S14:S27)</f>
        <v>4091.7363399999999</v>
      </c>
      <c r="T28" s="157"/>
      <c r="U28" s="157"/>
      <c r="V28" s="157"/>
      <c r="W28" s="158"/>
      <c r="X28" s="159"/>
      <c r="Y28" s="157"/>
      <c r="Z28" s="157"/>
      <c r="AA28" s="157"/>
      <c r="AB28" s="157"/>
      <c r="AC28" s="158"/>
      <c r="AD28" s="159"/>
      <c r="AE28" s="157"/>
      <c r="AF28" s="157"/>
      <c r="AG28" s="157"/>
      <c r="AH28" s="157"/>
      <c r="AI28" s="158"/>
      <c r="AJ28" s="159"/>
      <c r="AK28" s="157"/>
      <c r="AL28" s="157"/>
      <c r="AM28" s="157"/>
      <c r="AN28" s="157"/>
      <c r="AO28" s="158"/>
      <c r="AP28" s="159"/>
      <c r="AQ28" s="157"/>
      <c r="AR28" s="157"/>
      <c r="AS28" s="157"/>
      <c r="AT28" s="157"/>
      <c r="AU28" s="158"/>
      <c r="AV28" s="159"/>
      <c r="AW28" s="157"/>
      <c r="AX28" s="157"/>
      <c r="AY28" s="157"/>
      <c r="AZ28" s="157"/>
      <c r="BA28" s="158"/>
      <c r="BB28" s="159"/>
      <c r="BC28" s="157"/>
      <c r="BD28" s="157"/>
      <c r="BE28" s="157"/>
      <c r="BF28" s="157"/>
      <c r="BG28" s="158"/>
      <c r="BH28" s="159"/>
      <c r="BI28" s="157"/>
      <c r="BJ28" s="157"/>
      <c r="BK28" s="157"/>
      <c r="BL28" s="157"/>
      <c r="BM28" s="158"/>
      <c r="BN28" s="159"/>
      <c r="BO28" s="157"/>
      <c r="BP28" s="157"/>
      <c r="BQ28" s="157"/>
      <c r="BR28" s="157"/>
      <c r="BS28" s="158"/>
      <c r="BT28" s="159"/>
      <c r="BU28" s="157"/>
      <c r="BV28" s="157"/>
      <c r="BW28" s="157"/>
      <c r="BX28" s="157"/>
      <c r="BY28" s="158"/>
      <c r="BZ28" s="159"/>
      <c r="CA28" s="157"/>
      <c r="CB28" s="157"/>
      <c r="CC28" s="157"/>
      <c r="CD28" s="157"/>
      <c r="CE28" s="158"/>
      <c r="CF28" s="159"/>
      <c r="CG28" s="157"/>
      <c r="CH28" s="157"/>
      <c r="CI28" s="157"/>
      <c r="CJ28" s="157"/>
      <c r="CK28" s="158"/>
      <c r="CL28" s="159"/>
      <c r="CM28" s="157"/>
      <c r="CN28" s="157"/>
      <c r="CO28" s="157"/>
      <c r="CP28" s="157"/>
      <c r="CQ28" s="158"/>
      <c r="CR28" s="159"/>
      <c r="CS28" s="157"/>
      <c r="CT28" s="157"/>
      <c r="CU28" s="157"/>
      <c r="CV28" s="157"/>
      <c r="CW28" s="158"/>
      <c r="CX28" s="159"/>
      <c r="CY28" s="157"/>
      <c r="CZ28" s="157"/>
      <c r="DA28" s="157"/>
      <c r="DB28" s="157"/>
      <c r="DC28" s="158"/>
      <c r="DD28" s="159"/>
      <c r="DE28" s="157"/>
      <c r="DF28" s="157"/>
      <c r="DG28" s="157"/>
      <c r="DH28" s="157"/>
      <c r="DI28" s="158"/>
      <c r="DJ28" s="159"/>
      <c r="DK28" s="157"/>
      <c r="DL28" s="157"/>
      <c r="DM28" s="157"/>
      <c r="DN28" s="157"/>
      <c r="DO28" s="158"/>
      <c r="DP28" s="159"/>
      <c r="DQ28" s="157"/>
      <c r="DR28" s="157"/>
      <c r="DS28" s="157"/>
      <c r="DT28" s="157"/>
      <c r="DU28" s="158"/>
      <c r="DV28" s="159"/>
      <c r="DW28" s="157"/>
      <c r="DX28" s="157"/>
      <c r="DY28" s="157"/>
      <c r="DZ28" s="157"/>
      <c r="EA28" s="158"/>
      <c r="EB28" s="159"/>
      <c r="EC28" s="157"/>
      <c r="ED28" s="157"/>
      <c r="EE28" s="157"/>
      <c r="EF28" s="157"/>
      <c r="EG28" s="158"/>
      <c r="EH28" s="159"/>
      <c r="EI28" s="157"/>
      <c r="EJ28" s="157"/>
      <c r="EK28" s="157"/>
      <c r="EL28" s="157"/>
      <c r="EM28" s="158"/>
      <c r="EN28" s="159"/>
      <c r="EO28" s="157"/>
      <c r="EP28" s="157"/>
      <c r="EQ28" s="157"/>
      <c r="ER28" s="157"/>
      <c r="ES28" s="158"/>
      <c r="ET28" s="159"/>
      <c r="EU28" s="157"/>
      <c r="EV28" s="157"/>
      <c r="EW28" s="157"/>
      <c r="EX28" s="157"/>
      <c r="EY28" s="158"/>
      <c r="EZ28" s="159"/>
      <c r="FA28" s="157"/>
      <c r="FB28" s="157"/>
      <c r="FC28" s="157"/>
      <c r="FD28" s="157"/>
      <c r="FE28" s="158"/>
      <c r="FF28" s="159"/>
      <c r="FG28" s="157"/>
      <c r="FH28" s="157"/>
      <c r="FI28" s="157"/>
      <c r="FJ28" s="157"/>
      <c r="FK28" s="158"/>
      <c r="FL28" s="159"/>
      <c r="FM28" s="157"/>
      <c r="FN28" s="157"/>
      <c r="FO28" s="157"/>
      <c r="FP28" s="157"/>
      <c r="FQ28" s="158"/>
      <c r="FR28" s="159"/>
      <c r="FS28" s="157"/>
      <c r="FT28" s="157"/>
      <c r="FU28" s="157"/>
      <c r="FV28" s="157"/>
      <c r="FW28" s="158"/>
      <c r="FX28" s="159"/>
      <c r="FY28" s="157"/>
      <c r="FZ28" s="157"/>
      <c r="GA28" s="157"/>
      <c r="GB28" s="157"/>
      <c r="GC28" s="158"/>
      <c r="GD28" s="159"/>
      <c r="GE28" s="157"/>
      <c r="GF28" s="157"/>
      <c r="GG28" s="157"/>
      <c r="GH28" s="157"/>
      <c r="GI28" s="158"/>
      <c r="GJ28" s="159"/>
      <c r="GK28" s="157"/>
      <c r="GL28" s="157"/>
      <c r="GM28" s="157"/>
      <c r="GN28" s="157"/>
      <c r="GO28" s="158"/>
      <c r="GP28" s="159"/>
      <c r="GQ28" s="157"/>
      <c r="GR28" s="157"/>
      <c r="GS28" s="157"/>
      <c r="GT28" s="157"/>
      <c r="GU28" s="158"/>
      <c r="GV28" s="159"/>
      <c r="GW28" s="157"/>
      <c r="GX28" s="157"/>
      <c r="GY28" s="157"/>
      <c r="GZ28" s="157"/>
      <c r="HA28" s="158"/>
      <c r="HB28" s="159"/>
      <c r="HC28" s="157"/>
      <c r="HD28" s="157"/>
      <c r="HE28" s="157"/>
      <c r="HF28" s="157"/>
      <c r="HG28" s="158"/>
      <c r="HH28" s="159"/>
      <c r="HI28" s="157"/>
      <c r="HJ28" s="157"/>
      <c r="HK28" s="157"/>
      <c r="HL28" s="157"/>
      <c r="HM28" s="158"/>
      <c r="HN28" s="159"/>
      <c r="HO28" s="157"/>
      <c r="HP28" s="157"/>
      <c r="HQ28" s="157"/>
      <c r="HR28" s="157"/>
      <c r="HS28" s="158"/>
      <c r="HT28" s="159"/>
      <c r="HU28" s="157"/>
      <c r="HV28" s="157"/>
      <c r="HW28" s="157"/>
    </row>
    <row r="29" spans="1:231" x14ac:dyDescent="0.25">
      <c r="H29" s="624"/>
      <c r="L29" s="635"/>
      <c r="M29" s="635"/>
    </row>
  </sheetData>
  <mergeCells count="36">
    <mergeCell ref="M11:M12"/>
    <mergeCell ref="Q1:R1"/>
    <mergeCell ref="A2:J2"/>
    <mergeCell ref="A3:J3"/>
    <mergeCell ref="A4:J4"/>
    <mergeCell ref="A5:J5"/>
    <mergeCell ref="O11:O13"/>
    <mergeCell ref="P11:Q11"/>
    <mergeCell ref="R11:S11"/>
    <mergeCell ref="A10:S10"/>
    <mergeCell ref="L11:L12"/>
    <mergeCell ref="A28:C28"/>
    <mergeCell ref="B21:C21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H11:H12"/>
    <mergeCell ref="I11:I12"/>
    <mergeCell ref="J11:J12"/>
    <mergeCell ref="K11:K12"/>
    <mergeCell ref="B14:C14"/>
    <mergeCell ref="B15:C15"/>
    <mergeCell ref="A11:A13"/>
    <mergeCell ref="B11:C13"/>
    <mergeCell ref="D11:D12"/>
    <mergeCell ref="E11:E12"/>
    <mergeCell ref="F11:F12"/>
    <mergeCell ref="G11:G12"/>
  </mergeCells>
  <printOptions horizontalCentered="1"/>
  <pageMargins left="0.15748031496062992" right="0.19685039370078741" top="0.78740157480314965" bottom="0.78740157480314965" header="0.15748031496062992" footer="0.31496062992125984"/>
  <pageSetup paperSize="9" scale="52" firstPageNumber="25" fitToHeight="0" orientation="landscape" useFirstPageNumber="1" r:id="rId1"/>
  <headerFooter scaleWithDoc="0">
    <oddFooter>&amp;C&amp;"-,Negrito itálico"Kaik Eduardo Silva Vilar
&amp;"-,Regular"Engenheiro Civil
CREA: 241510947-9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370C0-9B42-49E5-824C-93A8CBB03F89}">
  <dimension ref="A1:HY32"/>
  <sheetViews>
    <sheetView showGridLines="0" view="pageBreakPreview" zoomScale="85" zoomScaleNormal="115" zoomScaleSheetLayoutView="85" workbookViewId="0">
      <selection activeCell="P20" sqref="P20"/>
    </sheetView>
  </sheetViews>
  <sheetFormatPr defaultRowHeight="15" x14ac:dyDescent="0.25"/>
  <cols>
    <col min="1" max="1" width="9" style="623"/>
    <col min="2" max="2" width="5.25" style="623" customWidth="1"/>
    <col min="3" max="3" width="29.375" style="623" customWidth="1"/>
    <col min="4" max="7" width="13.75" style="623" customWidth="1"/>
    <col min="8" max="8" width="12" style="623" customWidth="1"/>
    <col min="9" max="9" width="14.875" style="623" customWidth="1"/>
    <col min="10" max="10" width="12" style="623" customWidth="1"/>
    <col min="11" max="11" width="0.75" style="623" customWidth="1"/>
    <col min="12" max="12" width="16.875" style="623" customWidth="1"/>
    <col min="13" max="16" width="12" style="623" customWidth="1"/>
    <col min="17" max="17" width="9" style="623"/>
    <col min="18" max="18" width="11.125" style="623" bestFit="1" customWidth="1"/>
    <col min="19" max="16384" width="9" style="623"/>
  </cols>
  <sheetData>
    <row r="1" spans="1:17" s="11" customFormat="1" ht="7.5" customHeight="1" x14ac:dyDescent="0.25">
      <c r="B1" s="8"/>
      <c r="C1" s="9"/>
      <c r="D1" s="9"/>
      <c r="E1" s="10"/>
      <c r="F1" s="9"/>
      <c r="G1" s="10"/>
      <c r="H1" s="9"/>
      <c r="I1" s="10"/>
      <c r="J1" s="9"/>
      <c r="K1" s="10"/>
      <c r="L1" s="10"/>
      <c r="M1" s="9"/>
      <c r="N1" s="454"/>
      <c r="O1" s="455"/>
      <c r="P1" s="12"/>
    </row>
    <row r="2" spans="1:17" customFormat="1" ht="18.75" x14ac:dyDescent="0.2">
      <c r="A2" s="456" t="s">
        <v>170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255"/>
    </row>
    <row r="3" spans="1:17" customFormat="1" ht="15.75" x14ac:dyDescent="0.2">
      <c r="A3" s="325" t="s">
        <v>171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124"/>
    </row>
    <row r="4" spans="1:17" customFormat="1" ht="14.25" x14ac:dyDescent="0.2">
      <c r="A4" s="328" t="s">
        <v>172</v>
      </c>
      <c r="B4" s="638"/>
      <c r="C4" s="638"/>
      <c r="D4" s="638"/>
      <c r="E4" s="638"/>
      <c r="F4" s="638"/>
      <c r="G4" s="638"/>
      <c r="H4" s="638"/>
      <c r="I4" s="638"/>
      <c r="J4" s="638"/>
      <c r="K4" s="638"/>
      <c r="L4" s="638"/>
      <c r="M4" s="638"/>
      <c r="N4" s="638"/>
      <c r="O4" s="638"/>
      <c r="P4" s="638"/>
      <c r="Q4" s="125"/>
    </row>
    <row r="5" spans="1:17" customFormat="1" ht="14.25" x14ac:dyDescent="0.2">
      <c r="A5" s="328" t="s">
        <v>173</v>
      </c>
      <c r="B5" s="638"/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  <c r="O5" s="638"/>
      <c r="P5" s="638"/>
      <c r="Q5" s="125"/>
    </row>
    <row r="6" spans="1:17" s="4" customFormat="1" x14ac:dyDescent="0.25">
      <c r="A6" s="24" t="s">
        <v>65</v>
      </c>
      <c r="B6" s="25"/>
      <c r="C6" s="25" t="s">
        <v>66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7" s="4" customFormat="1" x14ac:dyDescent="0.25">
      <c r="A7" s="24" t="s">
        <v>67</v>
      </c>
      <c r="B7" s="25"/>
      <c r="C7" s="25" t="s">
        <v>68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7" s="4" customFormat="1" x14ac:dyDescent="0.25">
      <c r="A8" s="24" t="s">
        <v>69</v>
      </c>
      <c r="B8" s="25"/>
      <c r="C8" s="25" t="s">
        <v>170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7" s="4" customFormat="1" x14ac:dyDescent="0.25">
      <c r="A9" s="24" t="s">
        <v>70</v>
      </c>
      <c r="B9" s="26"/>
      <c r="C9" s="26" t="s">
        <v>411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7" s="619" customFormat="1" ht="22.5" customHeight="1" x14ac:dyDescent="0.2">
      <c r="A10" s="414" t="s">
        <v>425</v>
      </c>
      <c r="B10" s="415"/>
      <c r="C10" s="415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44"/>
    </row>
    <row r="11" spans="1:17" s="620" customFormat="1" ht="12.75" customHeight="1" x14ac:dyDescent="0.2">
      <c r="A11" s="445" t="s">
        <v>90</v>
      </c>
      <c r="B11" s="446" t="s">
        <v>177</v>
      </c>
      <c r="C11" s="447"/>
      <c r="D11" s="448" t="s">
        <v>179</v>
      </c>
      <c r="E11" s="448" t="s">
        <v>180</v>
      </c>
      <c r="F11" s="448" t="s">
        <v>181</v>
      </c>
      <c r="G11" s="450" t="s">
        <v>424</v>
      </c>
      <c r="H11" s="450" t="s">
        <v>262</v>
      </c>
      <c r="I11" s="450" t="s">
        <v>426</v>
      </c>
      <c r="J11" s="450" t="s">
        <v>427</v>
      </c>
      <c r="K11" s="625"/>
      <c r="L11" s="451" t="s">
        <v>428</v>
      </c>
      <c r="M11" s="626" t="s">
        <v>429</v>
      </c>
      <c r="N11" s="626"/>
      <c r="O11" s="626" t="s">
        <v>430</v>
      </c>
      <c r="P11" s="626"/>
    </row>
    <row r="12" spans="1:17" s="620" customFormat="1" ht="25.5" x14ac:dyDescent="0.2">
      <c r="A12" s="445"/>
      <c r="B12" s="446"/>
      <c r="C12" s="447"/>
      <c r="D12" s="449"/>
      <c r="E12" s="449"/>
      <c r="F12" s="449"/>
      <c r="G12" s="451"/>
      <c r="H12" s="451"/>
      <c r="I12" s="451"/>
      <c r="J12" s="627"/>
      <c r="K12" s="628"/>
      <c r="L12" s="451"/>
      <c r="M12" s="150" t="s">
        <v>289</v>
      </c>
      <c r="N12" s="307" t="s">
        <v>431</v>
      </c>
      <c r="O12" s="150" t="s">
        <v>289</v>
      </c>
      <c r="P12" s="307" t="s">
        <v>431</v>
      </c>
    </row>
    <row r="13" spans="1:17" s="620" customFormat="1" ht="22.5" customHeight="1" x14ac:dyDescent="0.2">
      <c r="A13" s="417"/>
      <c r="B13" s="420"/>
      <c r="C13" s="421"/>
      <c r="D13" s="152" t="s">
        <v>184</v>
      </c>
      <c r="E13" s="152" t="s">
        <v>184</v>
      </c>
      <c r="F13" s="152" t="s">
        <v>185</v>
      </c>
      <c r="G13" s="152" t="s">
        <v>185</v>
      </c>
      <c r="H13" s="152" t="s">
        <v>185</v>
      </c>
      <c r="I13" s="152" t="s">
        <v>184</v>
      </c>
      <c r="J13" s="152" t="s">
        <v>292</v>
      </c>
      <c r="K13" s="628"/>
      <c r="L13" s="627"/>
      <c r="M13" s="152" t="s">
        <v>293</v>
      </c>
      <c r="N13" s="152" t="s">
        <v>432</v>
      </c>
      <c r="O13" s="152" t="s">
        <v>293</v>
      </c>
      <c r="P13" s="152" t="s">
        <v>432</v>
      </c>
    </row>
    <row r="14" spans="1:17" s="620" customFormat="1" ht="20.100000000000001" customHeight="1" x14ac:dyDescent="0.2">
      <c r="A14" s="164">
        <v>1</v>
      </c>
      <c r="B14" s="442" t="str">
        <f>IMPRIMAÇÃO!B14</f>
        <v>ALAMEDA DAS GARRINCHAS</v>
      </c>
      <c r="C14" s="443"/>
      <c r="D14" s="221">
        <f>IMPRIMAÇÃO!D14</f>
        <v>222.42</v>
      </c>
      <c r="E14" s="221">
        <f>TSD!E14</f>
        <v>6.4</v>
      </c>
      <c r="F14" s="629">
        <f>E14*D14</f>
        <v>1423.4880000000001</v>
      </c>
      <c r="G14" s="222">
        <f>IMPRIMAÇÃO!G14</f>
        <v>16.760000000000002</v>
      </c>
      <c r="H14" s="629">
        <f>G14+F14</f>
        <v>1440.248</v>
      </c>
      <c r="I14" s="176">
        <v>0.2</v>
      </c>
      <c r="J14" s="630">
        <f>I14*H14</f>
        <v>288.0496</v>
      </c>
      <c r="K14" s="631"/>
      <c r="L14" s="176">
        <v>1.1499999999999999</v>
      </c>
      <c r="M14" s="176">
        <v>0</v>
      </c>
      <c r="N14" s="630">
        <v>0</v>
      </c>
      <c r="O14" s="176">
        <v>5</v>
      </c>
      <c r="P14" s="630">
        <f>O14*J14*L14</f>
        <v>1656.2852</v>
      </c>
    </row>
    <row r="15" spans="1:17" s="620" customFormat="1" ht="20.100000000000001" customHeight="1" x14ac:dyDescent="0.2">
      <c r="A15" s="164">
        <v>2</v>
      </c>
      <c r="B15" s="442" t="str">
        <f>IMPRIMAÇÃO!B15</f>
        <v>RUA MARIA DE LOURDES VIEIRA</v>
      </c>
      <c r="C15" s="443"/>
      <c r="D15" s="221">
        <f>IMPRIMAÇÃO!D15</f>
        <v>219.54000000000002</v>
      </c>
      <c r="E15" s="221">
        <f>TSD!E15</f>
        <v>6.4</v>
      </c>
      <c r="F15" s="629">
        <f t="shared" ref="F15:F27" si="0">E15*D15</f>
        <v>1405.0560000000003</v>
      </c>
      <c r="G15" s="222">
        <f>IMPRIMAÇÃO!G15</f>
        <v>17.100000000000001</v>
      </c>
      <c r="H15" s="629">
        <f t="shared" ref="H15:H27" si="1">G15+F15</f>
        <v>1422.1560000000002</v>
      </c>
      <c r="I15" s="176">
        <v>0.2</v>
      </c>
      <c r="J15" s="630">
        <f t="shared" ref="J15:J27" si="2">I15*H15</f>
        <v>284.43120000000005</v>
      </c>
      <c r="K15" s="631"/>
      <c r="L15" s="176">
        <v>1.1499999999999999</v>
      </c>
      <c r="M15" s="176">
        <v>0</v>
      </c>
      <c r="N15" s="630">
        <v>0</v>
      </c>
      <c r="O15" s="176">
        <v>5</v>
      </c>
      <c r="P15" s="630">
        <f t="shared" ref="P15:P27" si="3">O15*J15*L15</f>
        <v>1635.4794000000002</v>
      </c>
    </row>
    <row r="16" spans="1:17" s="620" customFormat="1" ht="20.100000000000001" customHeight="1" x14ac:dyDescent="0.2">
      <c r="A16" s="164">
        <v>3</v>
      </c>
      <c r="B16" s="442" t="str">
        <f>IMPRIMAÇÃO!B16</f>
        <v>AV. JUVENTINO CIPRIANO DA EXALTAÇÃO</v>
      </c>
      <c r="C16" s="443"/>
      <c r="D16" s="221">
        <f>IMPRIMAÇÃO!D16</f>
        <v>152.75</v>
      </c>
      <c r="E16" s="221">
        <f>TSD!E16</f>
        <v>6.4</v>
      </c>
      <c r="F16" s="629">
        <f t="shared" si="0"/>
        <v>977.6</v>
      </c>
      <c r="G16" s="222">
        <f>IMPRIMAÇÃO!G16</f>
        <v>16.989999999999998</v>
      </c>
      <c r="H16" s="629">
        <f t="shared" si="1"/>
        <v>994.59</v>
      </c>
      <c r="I16" s="176">
        <v>0.2</v>
      </c>
      <c r="J16" s="630">
        <f t="shared" si="2"/>
        <v>198.91800000000001</v>
      </c>
      <c r="K16" s="631"/>
      <c r="L16" s="176">
        <v>1.1499999999999999</v>
      </c>
      <c r="M16" s="176">
        <v>0</v>
      </c>
      <c r="N16" s="630">
        <v>0</v>
      </c>
      <c r="O16" s="176">
        <v>5</v>
      </c>
      <c r="P16" s="630">
        <f t="shared" si="3"/>
        <v>1143.7784999999999</v>
      </c>
    </row>
    <row r="17" spans="1:233" s="620" customFormat="1" ht="20.100000000000001" customHeight="1" x14ac:dyDescent="0.2">
      <c r="A17" s="164">
        <v>4</v>
      </c>
      <c r="B17" s="442" t="str">
        <f>IMPRIMAÇÃO!B17</f>
        <v>AV. DRº RUI EVANGELISTA DA EXALTAÇÃO</v>
      </c>
      <c r="C17" s="443"/>
      <c r="D17" s="221">
        <f>IMPRIMAÇÃO!D17</f>
        <v>257.79000000000002</v>
      </c>
      <c r="E17" s="221">
        <f>TSD!E17</f>
        <v>6.4</v>
      </c>
      <c r="F17" s="629">
        <f t="shared" si="0"/>
        <v>1649.8560000000002</v>
      </c>
      <c r="G17" s="222">
        <f>IMPRIMAÇÃO!G17</f>
        <v>0</v>
      </c>
      <c r="H17" s="629">
        <f t="shared" si="1"/>
        <v>1649.8560000000002</v>
      </c>
      <c r="I17" s="176">
        <v>0.2</v>
      </c>
      <c r="J17" s="630">
        <f t="shared" si="2"/>
        <v>329.97120000000007</v>
      </c>
      <c r="K17" s="631"/>
      <c r="L17" s="176">
        <v>1.1499999999999999</v>
      </c>
      <c r="M17" s="176">
        <v>0</v>
      </c>
      <c r="N17" s="630">
        <v>0</v>
      </c>
      <c r="O17" s="176">
        <v>5</v>
      </c>
      <c r="P17" s="630">
        <f t="shared" si="3"/>
        <v>1897.3344000000002</v>
      </c>
    </row>
    <row r="18" spans="1:233" s="620" customFormat="1" ht="20.100000000000001" customHeight="1" x14ac:dyDescent="0.2">
      <c r="A18" s="164">
        <v>5</v>
      </c>
      <c r="B18" s="442" t="str">
        <f>IMPRIMAÇÃO!B18</f>
        <v>RUA MIRO HENRIQUE VIEIRA FREIRE</v>
      </c>
      <c r="C18" s="443"/>
      <c r="D18" s="221">
        <f>IMPRIMAÇÃO!D18</f>
        <v>322.44</v>
      </c>
      <c r="E18" s="221">
        <f>TSD!E18</f>
        <v>6.4</v>
      </c>
      <c r="F18" s="629">
        <f t="shared" si="0"/>
        <v>2063.616</v>
      </c>
      <c r="G18" s="222">
        <f>IMPRIMAÇÃO!G18</f>
        <v>16.989999999999998</v>
      </c>
      <c r="H18" s="629">
        <f t="shared" si="1"/>
        <v>2080.6059999999998</v>
      </c>
      <c r="I18" s="176">
        <v>0.2</v>
      </c>
      <c r="J18" s="630">
        <f t="shared" si="2"/>
        <v>416.12119999999999</v>
      </c>
      <c r="K18" s="631"/>
      <c r="L18" s="176">
        <v>1.1499999999999999</v>
      </c>
      <c r="M18" s="176">
        <v>0</v>
      </c>
      <c r="N18" s="630">
        <v>0</v>
      </c>
      <c r="O18" s="176">
        <v>5</v>
      </c>
      <c r="P18" s="630">
        <f t="shared" si="3"/>
        <v>2392.6968999999995</v>
      </c>
    </row>
    <row r="19" spans="1:233" s="620" customFormat="1" ht="20.100000000000001" customHeight="1" x14ac:dyDescent="0.2">
      <c r="A19" s="164">
        <v>6</v>
      </c>
      <c r="B19" s="442" t="str">
        <f>IMPRIMAÇÃO!B19</f>
        <v>RUA MARIA MARTA VIEIRA</v>
      </c>
      <c r="C19" s="443"/>
      <c r="D19" s="221">
        <f>IMPRIMAÇÃO!D19</f>
        <v>212.14999999999998</v>
      </c>
      <c r="E19" s="221">
        <f>TSD!E19</f>
        <v>6.4</v>
      </c>
      <c r="F19" s="629">
        <f t="shared" si="0"/>
        <v>1357.76</v>
      </c>
      <c r="G19" s="222">
        <f>IMPRIMAÇÃO!G19</f>
        <v>0</v>
      </c>
      <c r="H19" s="629">
        <f t="shared" si="1"/>
        <v>1357.76</v>
      </c>
      <c r="I19" s="176">
        <v>0.2</v>
      </c>
      <c r="J19" s="630">
        <f t="shared" si="2"/>
        <v>271.55200000000002</v>
      </c>
      <c r="K19" s="631"/>
      <c r="L19" s="176">
        <v>1.1499999999999999</v>
      </c>
      <c r="M19" s="176">
        <v>0</v>
      </c>
      <c r="N19" s="630">
        <v>0</v>
      </c>
      <c r="O19" s="176">
        <v>5</v>
      </c>
      <c r="P19" s="630">
        <f t="shared" si="3"/>
        <v>1561.4240000000002</v>
      </c>
    </row>
    <row r="20" spans="1:233" s="620" customFormat="1" ht="20.100000000000001" customHeight="1" x14ac:dyDescent="0.2">
      <c r="A20" s="164">
        <v>7</v>
      </c>
      <c r="B20" s="442" t="str">
        <f>IMPRIMAÇÃO!B20</f>
        <v>AV. DIONITA JUVENAL DA EXALTAÇÃO</v>
      </c>
      <c r="C20" s="443"/>
      <c r="D20" s="221">
        <f>IMPRIMAÇÃO!D20</f>
        <v>67.02</v>
      </c>
      <c r="E20" s="221">
        <f>TSD!E20</f>
        <v>6.4</v>
      </c>
      <c r="F20" s="629">
        <f t="shared" si="0"/>
        <v>428.928</v>
      </c>
      <c r="G20" s="222">
        <f>IMPRIMAÇÃO!G20</f>
        <v>23.14</v>
      </c>
      <c r="H20" s="629">
        <f t="shared" si="1"/>
        <v>452.06799999999998</v>
      </c>
      <c r="I20" s="176">
        <v>0.2</v>
      </c>
      <c r="J20" s="630">
        <f t="shared" si="2"/>
        <v>90.413600000000002</v>
      </c>
      <c r="K20" s="631"/>
      <c r="L20" s="176">
        <v>1.1499999999999999</v>
      </c>
      <c r="M20" s="176">
        <v>0</v>
      </c>
      <c r="N20" s="630">
        <v>0</v>
      </c>
      <c r="O20" s="176">
        <v>5</v>
      </c>
      <c r="P20" s="630">
        <f t="shared" si="3"/>
        <v>519.87819999999999</v>
      </c>
    </row>
    <row r="21" spans="1:233" s="620" customFormat="1" ht="20.100000000000001" customHeight="1" x14ac:dyDescent="0.2">
      <c r="A21" s="164">
        <v>8</v>
      </c>
      <c r="B21" s="442" t="str">
        <f>IMPRIMAÇÃO!B21</f>
        <v>AV. EDUARDO VIEIRA</v>
      </c>
      <c r="C21" s="443"/>
      <c r="D21" s="221">
        <f>IMPRIMAÇÃO!D21</f>
        <v>166.14</v>
      </c>
      <c r="E21" s="221">
        <f>TSD!E21</f>
        <v>6.4</v>
      </c>
      <c r="F21" s="629">
        <f t="shared" si="0"/>
        <v>1063.296</v>
      </c>
      <c r="G21" s="222">
        <f>IMPRIMAÇÃO!G21</f>
        <v>35.46</v>
      </c>
      <c r="H21" s="629">
        <f t="shared" si="1"/>
        <v>1098.7560000000001</v>
      </c>
      <c r="I21" s="176">
        <v>0.2</v>
      </c>
      <c r="J21" s="630">
        <f t="shared" si="2"/>
        <v>219.75120000000004</v>
      </c>
      <c r="K21" s="631"/>
      <c r="L21" s="176">
        <v>1.1499999999999999</v>
      </c>
      <c r="M21" s="176">
        <v>0</v>
      </c>
      <c r="N21" s="630">
        <v>0</v>
      </c>
      <c r="O21" s="176">
        <v>5</v>
      </c>
      <c r="P21" s="630">
        <f t="shared" si="3"/>
        <v>1263.5694000000003</v>
      </c>
    </row>
    <row r="22" spans="1:233" s="620" customFormat="1" ht="20.100000000000001" customHeight="1" x14ac:dyDescent="0.2">
      <c r="A22" s="164">
        <v>9</v>
      </c>
      <c r="B22" s="442" t="str">
        <f>IMPRIMAÇÃO!B22</f>
        <v>TRAVESSA A</v>
      </c>
      <c r="C22" s="443"/>
      <c r="D22" s="221">
        <f>IMPRIMAÇÃO!D22</f>
        <v>99.14</v>
      </c>
      <c r="E22" s="221">
        <f>TSD!E22</f>
        <v>6.4</v>
      </c>
      <c r="F22" s="629">
        <f t="shared" si="0"/>
        <v>634.49600000000009</v>
      </c>
      <c r="G22" s="222">
        <f>IMPRIMAÇÃO!G22</f>
        <v>0</v>
      </c>
      <c r="H22" s="629">
        <f t="shared" si="1"/>
        <v>634.49600000000009</v>
      </c>
      <c r="I22" s="176">
        <v>0.2</v>
      </c>
      <c r="J22" s="630">
        <f t="shared" si="2"/>
        <v>126.89920000000002</v>
      </c>
      <c r="K22" s="631"/>
      <c r="L22" s="176">
        <v>1.1499999999999999</v>
      </c>
      <c r="M22" s="176">
        <v>0</v>
      </c>
      <c r="N22" s="630">
        <v>0</v>
      </c>
      <c r="O22" s="176">
        <v>5</v>
      </c>
      <c r="P22" s="630">
        <f t="shared" si="3"/>
        <v>729.67040000000009</v>
      </c>
    </row>
    <row r="23" spans="1:233" s="620" customFormat="1" ht="20.100000000000001" customHeight="1" x14ac:dyDescent="0.2">
      <c r="A23" s="164">
        <v>10</v>
      </c>
      <c r="B23" s="442" t="str">
        <f>IMPRIMAÇÃO!B23</f>
        <v>RUA CAETÊ</v>
      </c>
      <c r="C23" s="443"/>
      <c r="D23" s="221">
        <f>IMPRIMAÇÃO!D23</f>
        <v>209.16000000000003</v>
      </c>
      <c r="E23" s="221">
        <f>TSD!E23</f>
        <v>6.4</v>
      </c>
      <c r="F23" s="629">
        <f t="shared" si="0"/>
        <v>1338.6240000000003</v>
      </c>
      <c r="G23" s="222">
        <f>IMPRIMAÇÃO!G23</f>
        <v>0</v>
      </c>
      <c r="H23" s="629">
        <f t="shared" si="1"/>
        <v>1338.6240000000003</v>
      </c>
      <c r="I23" s="176">
        <v>0.2</v>
      </c>
      <c r="J23" s="630">
        <f t="shared" si="2"/>
        <v>267.72480000000007</v>
      </c>
      <c r="K23" s="631"/>
      <c r="L23" s="176">
        <v>1.1499999999999999</v>
      </c>
      <c r="M23" s="176">
        <v>0</v>
      </c>
      <c r="N23" s="630">
        <v>0</v>
      </c>
      <c r="O23" s="176">
        <v>5</v>
      </c>
      <c r="P23" s="630">
        <f t="shared" si="3"/>
        <v>1539.4176000000002</v>
      </c>
    </row>
    <row r="24" spans="1:233" s="620" customFormat="1" ht="20.100000000000001" customHeight="1" x14ac:dyDescent="0.2">
      <c r="A24" s="164">
        <v>11</v>
      </c>
      <c r="B24" s="442" t="str">
        <f>IMPRIMAÇÃO!B24</f>
        <v>RUA MARIA MARTA VIEIRA</v>
      </c>
      <c r="C24" s="443"/>
      <c r="D24" s="221">
        <f>IMPRIMAÇÃO!D24</f>
        <v>393.09000000000003</v>
      </c>
      <c r="E24" s="221">
        <f>TSD!E24</f>
        <v>6.4</v>
      </c>
      <c r="F24" s="629">
        <f t="shared" si="0"/>
        <v>2515.7760000000003</v>
      </c>
      <c r="G24" s="222">
        <f>IMPRIMAÇÃO!G24</f>
        <v>0</v>
      </c>
      <c r="H24" s="629">
        <f t="shared" si="1"/>
        <v>2515.7760000000003</v>
      </c>
      <c r="I24" s="176">
        <v>0.2</v>
      </c>
      <c r="J24" s="630">
        <f t="shared" si="2"/>
        <v>503.15520000000009</v>
      </c>
      <c r="K24" s="631"/>
      <c r="L24" s="176">
        <v>1.1499999999999999</v>
      </c>
      <c r="M24" s="176">
        <v>0</v>
      </c>
      <c r="N24" s="630">
        <v>0</v>
      </c>
      <c r="O24" s="176">
        <v>5</v>
      </c>
      <c r="P24" s="630">
        <f t="shared" si="3"/>
        <v>2893.1424000000002</v>
      </c>
    </row>
    <row r="25" spans="1:233" s="620" customFormat="1" ht="20.100000000000001" customHeight="1" x14ac:dyDescent="0.2">
      <c r="A25" s="164">
        <v>12</v>
      </c>
      <c r="B25" s="442" t="str">
        <f>IMPRIMAÇÃO!B25</f>
        <v>RUA 02</v>
      </c>
      <c r="C25" s="443"/>
      <c r="D25" s="221">
        <f>IMPRIMAÇÃO!D25</f>
        <v>109.38</v>
      </c>
      <c r="E25" s="221">
        <f>TSD!E25</f>
        <v>6.4</v>
      </c>
      <c r="F25" s="629">
        <f t="shared" si="0"/>
        <v>700.03200000000004</v>
      </c>
      <c r="G25" s="222">
        <f>IMPRIMAÇÃO!G25</f>
        <v>17.11</v>
      </c>
      <c r="H25" s="629">
        <f t="shared" si="1"/>
        <v>717.14200000000005</v>
      </c>
      <c r="I25" s="176">
        <v>0.2</v>
      </c>
      <c r="J25" s="630">
        <f t="shared" si="2"/>
        <v>143.42840000000001</v>
      </c>
      <c r="K25" s="631"/>
      <c r="L25" s="176">
        <v>1.1499999999999999</v>
      </c>
      <c r="M25" s="176">
        <v>0</v>
      </c>
      <c r="N25" s="630">
        <v>0</v>
      </c>
      <c r="O25" s="176">
        <v>5</v>
      </c>
      <c r="P25" s="630">
        <f t="shared" si="3"/>
        <v>824.7133</v>
      </c>
    </row>
    <row r="26" spans="1:233" s="620" customFormat="1" ht="20.100000000000001" customHeight="1" x14ac:dyDescent="0.2">
      <c r="A26" s="164">
        <v>13</v>
      </c>
      <c r="B26" s="442" t="str">
        <f>IMPRIMAÇÃO!B26</f>
        <v>RUA E</v>
      </c>
      <c r="C26" s="443"/>
      <c r="D26" s="221">
        <f>IMPRIMAÇÃO!D26</f>
        <v>226.19</v>
      </c>
      <c r="E26" s="221">
        <f>TSD!E26</f>
        <v>6.4</v>
      </c>
      <c r="F26" s="629">
        <f t="shared" si="0"/>
        <v>1447.616</v>
      </c>
      <c r="G26" s="222">
        <f>IMPRIMAÇÃO!G26</f>
        <v>17.68</v>
      </c>
      <c r="H26" s="629">
        <f t="shared" si="1"/>
        <v>1465.296</v>
      </c>
      <c r="I26" s="176">
        <v>0.2</v>
      </c>
      <c r="J26" s="630">
        <f t="shared" si="2"/>
        <v>293.05920000000003</v>
      </c>
      <c r="K26" s="631"/>
      <c r="L26" s="176">
        <v>1.1499999999999999</v>
      </c>
      <c r="M26" s="176">
        <v>0</v>
      </c>
      <c r="N26" s="630">
        <v>0</v>
      </c>
      <c r="O26" s="176">
        <v>5</v>
      </c>
      <c r="P26" s="630">
        <f t="shared" si="3"/>
        <v>1685.0904000000003</v>
      </c>
    </row>
    <row r="27" spans="1:233" s="620" customFormat="1" ht="20.100000000000001" customHeight="1" x14ac:dyDescent="0.2">
      <c r="A27" s="164">
        <v>14</v>
      </c>
      <c r="B27" s="442" t="str">
        <f>IMPRIMAÇÃO!B27</f>
        <v>TV ALTO PARAISO</v>
      </c>
      <c r="C27" s="443"/>
      <c r="D27" s="221">
        <f>IMPRIMAÇÃO!D27</f>
        <v>97.31</v>
      </c>
      <c r="E27" s="221">
        <f>TSD!E27</f>
        <v>6.4</v>
      </c>
      <c r="F27" s="629">
        <f t="shared" si="0"/>
        <v>622.78400000000011</v>
      </c>
      <c r="G27" s="222">
        <f>IMPRIMAÇÃO!G27</f>
        <v>0</v>
      </c>
      <c r="H27" s="629">
        <f t="shared" si="1"/>
        <v>622.78400000000011</v>
      </c>
      <c r="I27" s="176">
        <v>0.2</v>
      </c>
      <c r="J27" s="630">
        <f t="shared" si="2"/>
        <v>124.55680000000002</v>
      </c>
      <c r="K27" s="631"/>
      <c r="L27" s="176">
        <v>1.1499999999999999</v>
      </c>
      <c r="M27" s="176">
        <v>0</v>
      </c>
      <c r="N27" s="630">
        <v>0</v>
      </c>
      <c r="O27" s="176">
        <v>5</v>
      </c>
      <c r="P27" s="630">
        <f t="shared" si="3"/>
        <v>716.2016000000001</v>
      </c>
    </row>
    <row r="28" spans="1:233" s="622" customFormat="1" ht="20.100000000000001" customHeight="1" x14ac:dyDescent="0.2">
      <c r="A28" s="452" t="s">
        <v>187</v>
      </c>
      <c r="B28" s="453"/>
      <c r="C28" s="453"/>
      <c r="D28" s="156">
        <f>SUM(D14:D27)</f>
        <v>2754.5200000000004</v>
      </c>
      <c r="E28" s="225"/>
      <c r="F28" s="156">
        <f t="shared" ref="F28:H28" si="4">SUM(F14:F27)</f>
        <v>17628.928</v>
      </c>
      <c r="G28" s="156">
        <f t="shared" si="4"/>
        <v>161.23000000000002</v>
      </c>
      <c r="H28" s="156">
        <f t="shared" si="4"/>
        <v>17790.157999999999</v>
      </c>
      <c r="I28" s="156"/>
      <c r="J28" s="156">
        <f>SUM(J14:J27)</f>
        <v>3558.0316000000003</v>
      </c>
      <c r="K28" s="633"/>
      <c r="L28" s="156"/>
      <c r="M28" s="156"/>
      <c r="N28" s="632">
        <v>0</v>
      </c>
      <c r="O28" s="156"/>
      <c r="P28" s="156">
        <f>SUM(P14:P27)</f>
        <v>20458.681700000001</v>
      </c>
      <c r="Q28" s="157"/>
      <c r="R28" s="634"/>
      <c r="S28" s="158"/>
      <c r="T28" s="159"/>
      <c r="U28" s="157"/>
      <c r="V28" s="157"/>
      <c r="W28" s="157"/>
      <c r="X28" s="157"/>
      <c r="Y28" s="158"/>
      <c r="Z28" s="159"/>
      <c r="AA28" s="157"/>
      <c r="AB28" s="157"/>
      <c r="AC28" s="157"/>
      <c r="AD28" s="157"/>
      <c r="AE28" s="158"/>
      <c r="AF28" s="159"/>
      <c r="AG28" s="157"/>
      <c r="AH28" s="157"/>
      <c r="AI28" s="157"/>
      <c r="AJ28" s="157"/>
      <c r="AK28" s="158"/>
      <c r="AL28" s="159"/>
      <c r="AM28" s="157"/>
      <c r="AN28" s="157"/>
      <c r="AO28" s="157"/>
      <c r="AP28" s="157"/>
      <c r="AQ28" s="158"/>
      <c r="AR28" s="159"/>
      <c r="AS28" s="157"/>
      <c r="AT28" s="157"/>
      <c r="AU28" s="157"/>
      <c r="AV28" s="157"/>
      <c r="AW28" s="158"/>
      <c r="AX28" s="159"/>
      <c r="AY28" s="157"/>
      <c r="AZ28" s="157"/>
      <c r="BA28" s="157"/>
      <c r="BB28" s="157"/>
      <c r="BC28" s="158"/>
      <c r="BD28" s="159"/>
      <c r="BE28" s="157"/>
      <c r="BF28" s="157"/>
      <c r="BG28" s="157"/>
      <c r="BH28" s="157"/>
      <c r="BI28" s="158"/>
      <c r="BJ28" s="159"/>
      <c r="BK28" s="157"/>
      <c r="BL28" s="157"/>
      <c r="BM28" s="157"/>
      <c r="BN28" s="157"/>
      <c r="BO28" s="158"/>
      <c r="BP28" s="159"/>
      <c r="BQ28" s="157"/>
      <c r="BR28" s="157"/>
      <c r="BS28" s="157"/>
      <c r="BT28" s="157"/>
      <c r="BU28" s="158"/>
      <c r="BV28" s="159"/>
      <c r="BW28" s="157"/>
      <c r="BX28" s="157"/>
      <c r="BY28" s="157"/>
      <c r="BZ28" s="157"/>
      <c r="CA28" s="158"/>
      <c r="CB28" s="159"/>
      <c r="CC28" s="157"/>
      <c r="CD28" s="157"/>
      <c r="CE28" s="157"/>
      <c r="CF28" s="157"/>
      <c r="CG28" s="158"/>
      <c r="CH28" s="159"/>
      <c r="CI28" s="157"/>
      <c r="CJ28" s="157"/>
      <c r="CK28" s="157"/>
      <c r="CL28" s="157"/>
      <c r="CM28" s="158"/>
      <c r="CN28" s="159"/>
      <c r="CO28" s="157"/>
      <c r="CP28" s="157"/>
      <c r="CQ28" s="157"/>
      <c r="CR28" s="157"/>
      <c r="CS28" s="158"/>
      <c r="CT28" s="159"/>
      <c r="CU28" s="157"/>
      <c r="CV28" s="157"/>
      <c r="CW28" s="157"/>
      <c r="CX28" s="157"/>
      <c r="CY28" s="158"/>
      <c r="CZ28" s="159"/>
      <c r="DA28" s="157"/>
      <c r="DB28" s="157"/>
      <c r="DC28" s="157"/>
      <c r="DD28" s="157"/>
      <c r="DE28" s="158"/>
      <c r="DF28" s="159"/>
      <c r="DG28" s="157"/>
      <c r="DH28" s="157"/>
      <c r="DI28" s="157"/>
      <c r="DJ28" s="157"/>
      <c r="DK28" s="158"/>
      <c r="DL28" s="159"/>
      <c r="DM28" s="157"/>
      <c r="DN28" s="157"/>
      <c r="DO28" s="157"/>
      <c r="DP28" s="157"/>
      <c r="DQ28" s="158"/>
      <c r="DR28" s="159"/>
      <c r="DS28" s="157"/>
      <c r="DT28" s="157"/>
      <c r="DU28" s="157"/>
      <c r="DV28" s="157"/>
      <c r="DW28" s="158"/>
      <c r="DX28" s="159"/>
      <c r="DY28" s="157"/>
      <c r="DZ28" s="157"/>
      <c r="EA28" s="157"/>
      <c r="EB28" s="157"/>
      <c r="EC28" s="158"/>
      <c r="ED28" s="159"/>
      <c r="EE28" s="157"/>
      <c r="EF28" s="157"/>
      <c r="EG28" s="157"/>
      <c r="EH28" s="157"/>
      <c r="EI28" s="158"/>
      <c r="EJ28" s="159"/>
      <c r="EK28" s="157"/>
      <c r="EL28" s="157"/>
      <c r="EM28" s="157"/>
      <c r="EN28" s="157"/>
      <c r="EO28" s="158"/>
      <c r="EP28" s="159"/>
      <c r="EQ28" s="157"/>
      <c r="ER28" s="157"/>
      <c r="ES28" s="157"/>
      <c r="ET28" s="157"/>
      <c r="EU28" s="158"/>
      <c r="EV28" s="159"/>
      <c r="EW28" s="157"/>
      <c r="EX28" s="157"/>
      <c r="EY28" s="157"/>
      <c r="EZ28" s="157"/>
      <c r="FA28" s="158"/>
      <c r="FB28" s="159"/>
      <c r="FC28" s="157"/>
      <c r="FD28" s="157"/>
      <c r="FE28" s="157"/>
      <c r="FF28" s="157"/>
      <c r="FG28" s="158"/>
      <c r="FH28" s="159"/>
      <c r="FI28" s="157"/>
      <c r="FJ28" s="157"/>
      <c r="FK28" s="157"/>
      <c r="FL28" s="157"/>
      <c r="FM28" s="158"/>
      <c r="FN28" s="159"/>
      <c r="FO28" s="157"/>
      <c r="FP28" s="157"/>
      <c r="FQ28" s="157"/>
      <c r="FR28" s="157"/>
      <c r="FS28" s="158"/>
      <c r="FT28" s="159"/>
      <c r="FU28" s="157"/>
      <c r="FV28" s="157"/>
      <c r="FW28" s="157"/>
      <c r="FX28" s="157"/>
      <c r="FY28" s="158"/>
      <c r="FZ28" s="159"/>
      <c r="GA28" s="157"/>
      <c r="GB28" s="157"/>
      <c r="GC28" s="157"/>
      <c r="GD28" s="157"/>
      <c r="GE28" s="158"/>
      <c r="GF28" s="159"/>
      <c r="GG28" s="157"/>
      <c r="GH28" s="157"/>
      <c r="GI28" s="157"/>
      <c r="GJ28" s="157"/>
      <c r="GK28" s="158"/>
      <c r="GL28" s="159"/>
      <c r="GM28" s="157"/>
      <c r="GN28" s="157"/>
      <c r="GO28" s="157"/>
      <c r="GP28" s="157"/>
      <c r="GQ28" s="158"/>
      <c r="GR28" s="159"/>
      <c r="GS28" s="157"/>
      <c r="GT28" s="157"/>
      <c r="GU28" s="157"/>
      <c r="GV28" s="157"/>
      <c r="GW28" s="158"/>
      <c r="GX28" s="159"/>
      <c r="GY28" s="157"/>
      <c r="GZ28" s="157"/>
      <c r="HA28" s="157"/>
      <c r="HB28" s="157"/>
      <c r="HC28" s="158"/>
      <c r="HD28" s="159"/>
      <c r="HE28" s="157"/>
      <c r="HF28" s="157"/>
      <c r="HG28" s="157"/>
      <c r="HH28" s="157"/>
      <c r="HI28" s="158"/>
      <c r="HJ28" s="159"/>
      <c r="HK28" s="157"/>
      <c r="HL28" s="157"/>
      <c r="HM28" s="157"/>
      <c r="HN28" s="157"/>
      <c r="HO28" s="158"/>
      <c r="HP28" s="159"/>
      <c r="HQ28" s="157"/>
      <c r="HR28" s="157"/>
      <c r="HS28" s="157"/>
      <c r="HT28" s="157"/>
      <c r="HU28" s="158"/>
      <c r="HV28" s="159"/>
      <c r="HW28" s="157"/>
      <c r="HX28" s="157"/>
      <c r="HY28" s="157"/>
    </row>
    <row r="29" spans="1:233" x14ac:dyDescent="0.25">
      <c r="D29" s="635"/>
      <c r="E29" s="635"/>
      <c r="F29" s="635"/>
      <c r="G29" s="635"/>
      <c r="H29" s="635"/>
      <c r="I29" s="635"/>
      <c r="J29" s="635"/>
      <c r="K29" s="635"/>
      <c r="L29" s="635"/>
      <c r="M29" s="635"/>
      <c r="N29" s="635"/>
      <c r="O29" s="635"/>
      <c r="P29" s="635"/>
    </row>
    <row r="30" spans="1:233" x14ac:dyDescent="0.25">
      <c r="A30" s="204" t="s">
        <v>433</v>
      </c>
    </row>
    <row r="31" spans="1:233" x14ac:dyDescent="0.25">
      <c r="A31" s="204" t="s">
        <v>434</v>
      </c>
    </row>
    <row r="32" spans="1:233" x14ac:dyDescent="0.25">
      <c r="E32" s="624"/>
    </row>
  </sheetData>
  <mergeCells count="33">
    <mergeCell ref="B27:C27"/>
    <mergeCell ref="N1:O1"/>
    <mergeCell ref="A28:C28"/>
    <mergeCell ref="B20:C20"/>
    <mergeCell ref="B21:C21"/>
    <mergeCell ref="B22:C22"/>
    <mergeCell ref="B23:C23"/>
    <mergeCell ref="B24:C24"/>
    <mergeCell ref="B25:C25"/>
    <mergeCell ref="B26:C26"/>
    <mergeCell ref="B14:C14"/>
    <mergeCell ref="B15:C15"/>
    <mergeCell ref="B16:C16"/>
    <mergeCell ref="B17:C17"/>
    <mergeCell ref="B18:C18"/>
    <mergeCell ref="B19:C19"/>
    <mergeCell ref="H11:H12"/>
    <mergeCell ref="I11:I12"/>
    <mergeCell ref="J11:J12"/>
    <mergeCell ref="L11:L13"/>
    <mergeCell ref="M11:N11"/>
    <mergeCell ref="O11:P11"/>
    <mergeCell ref="A10:P10"/>
    <mergeCell ref="A11:A13"/>
    <mergeCell ref="B11:C13"/>
    <mergeCell ref="D11:D12"/>
    <mergeCell ref="E11:E12"/>
    <mergeCell ref="F11:F12"/>
    <mergeCell ref="G11:G12"/>
    <mergeCell ref="A2:P2"/>
    <mergeCell ref="A3:P3"/>
    <mergeCell ref="A4:P4"/>
    <mergeCell ref="A5:P5"/>
  </mergeCells>
  <printOptions horizontalCentered="1"/>
  <pageMargins left="0.15748031496062992" right="0.19685039370078741" top="0.78740157480314965" bottom="0.78740157480314965" header="0.15748031496062992" footer="0.31496062992125984"/>
  <pageSetup paperSize="9" scale="60" firstPageNumber="25" fitToHeight="0" orientation="landscape" useFirstPageNumber="1" r:id="rId1"/>
  <headerFooter scaleWithDoc="0">
    <oddFooter>&amp;C&amp;"-,Negrito itálico"Kaik Eduardo Silva Vilar
&amp;"-,Regular"Engenheiro Civil
CREA: 241510947-9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BE91-B18F-494E-BAD7-9FBB60FD4D89}">
  <dimension ref="A1:HS29"/>
  <sheetViews>
    <sheetView showGridLines="0" view="pageBreakPreview" zoomScaleNormal="115" zoomScaleSheetLayoutView="100" workbookViewId="0">
      <selection sqref="A1:XFD9"/>
    </sheetView>
  </sheetViews>
  <sheetFormatPr defaultRowHeight="15" x14ac:dyDescent="0.25"/>
  <cols>
    <col min="1" max="1" width="9" style="227"/>
    <col min="2" max="2" width="5.25" style="227" customWidth="1"/>
    <col min="3" max="3" width="35.625" style="227" customWidth="1"/>
    <col min="4" max="10" width="13.75" style="227" customWidth="1"/>
    <col min="11" max="16384" width="9" style="227"/>
  </cols>
  <sheetData>
    <row r="1" spans="1:17" s="11" customFormat="1" ht="7.5" customHeight="1" x14ac:dyDescent="0.25">
      <c r="B1" s="8"/>
      <c r="C1" s="9"/>
      <c r="D1" s="9"/>
      <c r="E1" s="10"/>
      <c r="F1" s="9"/>
      <c r="G1" s="10"/>
      <c r="H1" s="9"/>
      <c r="I1" s="10"/>
      <c r="J1" s="9"/>
      <c r="K1" s="10"/>
      <c r="L1" s="10"/>
      <c r="M1" s="9"/>
      <c r="N1" s="454"/>
      <c r="O1" s="455"/>
      <c r="P1" s="12"/>
    </row>
    <row r="2" spans="1:17" customFormat="1" ht="18.75" x14ac:dyDescent="0.2">
      <c r="A2" s="456" t="s">
        <v>170</v>
      </c>
      <c r="B2" s="457"/>
      <c r="C2" s="457"/>
      <c r="D2" s="457"/>
      <c r="E2" s="457"/>
      <c r="F2" s="457"/>
      <c r="G2" s="457"/>
      <c r="H2" s="457"/>
      <c r="I2" s="457"/>
      <c r="J2" s="457"/>
      <c r="K2" s="255"/>
      <c r="L2" s="255"/>
      <c r="M2" s="255"/>
      <c r="N2" s="255"/>
      <c r="O2" s="255"/>
      <c r="P2" s="255"/>
      <c r="Q2" s="255"/>
    </row>
    <row r="3" spans="1:17" customFormat="1" ht="15.75" x14ac:dyDescent="0.2">
      <c r="A3" s="325" t="s">
        <v>171</v>
      </c>
      <c r="B3" s="326"/>
      <c r="C3" s="326"/>
      <c r="D3" s="326"/>
      <c r="E3" s="326"/>
      <c r="F3" s="326"/>
      <c r="G3" s="326"/>
      <c r="H3" s="326"/>
      <c r="I3" s="326"/>
      <c r="J3" s="326"/>
      <c r="K3" s="124"/>
      <c r="L3" s="124"/>
      <c r="M3" s="124"/>
      <c r="N3" s="124"/>
      <c r="O3" s="124"/>
      <c r="P3" s="124"/>
      <c r="Q3" s="124"/>
    </row>
    <row r="4" spans="1:17" customFormat="1" ht="14.25" x14ac:dyDescent="0.2">
      <c r="A4" s="328" t="s">
        <v>172</v>
      </c>
      <c r="B4" s="329"/>
      <c r="C4" s="329"/>
      <c r="D4" s="329"/>
      <c r="E4" s="329"/>
      <c r="F4" s="329"/>
      <c r="G4" s="329"/>
      <c r="H4" s="329"/>
      <c r="I4" s="329"/>
      <c r="J4" s="329"/>
      <c r="K4" s="125"/>
      <c r="L4" s="125"/>
      <c r="M4" s="125"/>
      <c r="N4" s="125"/>
      <c r="O4" s="125"/>
      <c r="P4" s="125"/>
      <c r="Q4" s="125"/>
    </row>
    <row r="5" spans="1:17" customFormat="1" ht="14.25" x14ac:dyDescent="0.2">
      <c r="A5" s="328" t="s">
        <v>173</v>
      </c>
      <c r="B5" s="329"/>
      <c r="C5" s="329"/>
      <c r="D5" s="329"/>
      <c r="E5" s="329"/>
      <c r="F5" s="329"/>
      <c r="G5" s="329"/>
      <c r="H5" s="329"/>
      <c r="I5" s="329"/>
      <c r="J5" s="329"/>
      <c r="K5" s="125"/>
      <c r="L5" s="125"/>
      <c r="M5" s="125"/>
      <c r="N5" s="125"/>
      <c r="O5" s="125"/>
      <c r="P5" s="125"/>
      <c r="Q5" s="125"/>
    </row>
    <row r="6" spans="1:17" s="4" customFormat="1" x14ac:dyDescent="0.25">
      <c r="A6" s="24" t="s">
        <v>65</v>
      </c>
      <c r="B6" s="25"/>
      <c r="C6" s="25" t="s">
        <v>66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7" s="4" customFormat="1" x14ac:dyDescent="0.25">
      <c r="A7" s="24" t="s">
        <v>67</v>
      </c>
      <c r="B7" s="25"/>
      <c r="C7" s="25" t="s">
        <v>68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7" s="4" customFormat="1" x14ac:dyDescent="0.25">
      <c r="A8" s="24" t="s">
        <v>69</v>
      </c>
      <c r="B8" s="25"/>
      <c r="C8" s="25" t="s">
        <v>170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7" s="4" customFormat="1" x14ac:dyDescent="0.25">
      <c r="A9" s="24" t="s">
        <v>70</v>
      </c>
      <c r="B9" s="26"/>
      <c r="C9" s="26" t="s">
        <v>411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7" s="218" customFormat="1" ht="22.5" customHeight="1" x14ac:dyDescent="0.2">
      <c r="A10" s="414" t="s">
        <v>276</v>
      </c>
      <c r="B10" s="415"/>
      <c r="C10" s="415"/>
      <c r="D10" s="415"/>
      <c r="E10" s="415"/>
      <c r="F10" s="415"/>
      <c r="G10" s="415"/>
      <c r="H10" s="415"/>
      <c r="I10" s="415"/>
      <c r="J10" s="444"/>
    </row>
    <row r="11" spans="1:17" s="219" customFormat="1" ht="12.75" customHeight="1" x14ac:dyDescent="0.2">
      <c r="A11" s="445" t="s">
        <v>90</v>
      </c>
      <c r="B11" s="446" t="s">
        <v>177</v>
      </c>
      <c r="C11" s="447"/>
      <c r="D11" s="448" t="s">
        <v>179</v>
      </c>
      <c r="E11" s="448" t="s">
        <v>180</v>
      </c>
      <c r="F11" s="450" t="s">
        <v>245</v>
      </c>
      <c r="G11" s="450" t="s">
        <v>277</v>
      </c>
      <c r="H11" s="450" t="s">
        <v>262</v>
      </c>
      <c r="I11" s="450" t="s">
        <v>278</v>
      </c>
      <c r="J11" s="450" t="s">
        <v>279</v>
      </c>
    </row>
    <row r="12" spans="1:17" s="219" customFormat="1" ht="12.75" x14ac:dyDescent="0.2">
      <c r="A12" s="445"/>
      <c r="B12" s="446"/>
      <c r="C12" s="447"/>
      <c r="D12" s="449"/>
      <c r="E12" s="449"/>
      <c r="F12" s="451"/>
      <c r="G12" s="451"/>
      <c r="H12" s="451"/>
      <c r="I12" s="451"/>
      <c r="J12" s="451"/>
    </row>
    <row r="13" spans="1:17" s="219" customFormat="1" ht="22.5" customHeight="1" x14ac:dyDescent="0.2">
      <c r="A13" s="417"/>
      <c r="B13" s="420"/>
      <c r="C13" s="421"/>
      <c r="D13" s="152" t="s">
        <v>184</v>
      </c>
      <c r="E13" s="152" t="s">
        <v>184</v>
      </c>
      <c r="F13" s="152" t="s">
        <v>185</v>
      </c>
      <c r="G13" s="152" t="s">
        <v>185</v>
      </c>
      <c r="H13" s="152" t="s">
        <v>185</v>
      </c>
      <c r="I13" s="152" t="s">
        <v>280</v>
      </c>
      <c r="J13" s="152" t="s">
        <v>281</v>
      </c>
    </row>
    <row r="14" spans="1:17" s="219" customFormat="1" ht="20.100000000000001" customHeight="1" x14ac:dyDescent="0.2">
      <c r="A14" s="164">
        <v>1</v>
      </c>
      <c r="B14" s="442" t="str">
        <f>'SIN. VERTICAL'!B13</f>
        <v>ALAMEDA DAS GARRINCHAS</v>
      </c>
      <c r="C14" s="443"/>
      <c r="D14" s="221">
        <f>101.13+10.94+110.35</f>
        <v>222.42</v>
      </c>
      <c r="E14" s="177">
        <v>6.4</v>
      </c>
      <c r="F14" s="222">
        <f>E14*D14</f>
        <v>1423.4880000000001</v>
      </c>
      <c r="G14" s="221">
        <v>16.760000000000002</v>
      </c>
      <c r="H14" s="222">
        <f>G14+F14</f>
        <v>1440.248</v>
      </c>
      <c r="I14" s="223">
        <v>1.1999999999999999E-3</v>
      </c>
      <c r="J14" s="224">
        <f>H14*I14</f>
        <v>1.7282975999999999</v>
      </c>
    </row>
    <row r="15" spans="1:17" s="219" customFormat="1" ht="20.100000000000001" customHeight="1" x14ac:dyDescent="0.2">
      <c r="A15" s="164">
        <v>2</v>
      </c>
      <c r="B15" s="442" t="str">
        <f>'SIN. VERTICAL'!B14</f>
        <v>RUA MARIA DE LOURDES VIEIRA</v>
      </c>
      <c r="C15" s="443"/>
      <c r="D15" s="221">
        <f>2.31+98.54+11.14+107.55</f>
        <v>219.54000000000002</v>
      </c>
      <c r="E15" s="177">
        <v>6.4</v>
      </c>
      <c r="F15" s="222">
        <f t="shared" ref="F15:F27" si="0">E15*D15</f>
        <v>1405.0560000000003</v>
      </c>
      <c r="G15" s="221">
        <v>17.100000000000001</v>
      </c>
      <c r="H15" s="222">
        <f t="shared" ref="H15:H27" si="1">G15+F15</f>
        <v>1422.1560000000002</v>
      </c>
      <c r="I15" s="223">
        <v>1.1999999999999999E-3</v>
      </c>
      <c r="J15" s="224">
        <f t="shared" ref="J15:J27" si="2">H15*I15</f>
        <v>1.7065872</v>
      </c>
    </row>
    <row r="16" spans="1:17" s="219" customFormat="1" ht="20.100000000000001" customHeight="1" x14ac:dyDescent="0.2">
      <c r="A16" s="164">
        <v>3</v>
      </c>
      <c r="B16" s="442" t="str">
        <f>'SIN. VERTICAL'!B15</f>
        <v>AV. JUVENTINO CIPRIANO DA EXALTAÇÃO</v>
      </c>
      <c r="C16" s="443"/>
      <c r="D16" s="221">
        <f>75.58+77.17</f>
        <v>152.75</v>
      </c>
      <c r="E16" s="177">
        <v>6.4</v>
      </c>
      <c r="F16" s="222">
        <f>E16*D16</f>
        <v>977.6</v>
      </c>
      <c r="G16" s="221">
        <v>16.989999999999998</v>
      </c>
      <c r="H16" s="222">
        <f t="shared" si="1"/>
        <v>994.59</v>
      </c>
      <c r="I16" s="223">
        <v>1.1999999999999999E-3</v>
      </c>
      <c r="J16" s="224">
        <f t="shared" si="2"/>
        <v>1.193508</v>
      </c>
    </row>
    <row r="17" spans="1:227" s="219" customFormat="1" ht="20.100000000000001" customHeight="1" x14ac:dyDescent="0.2">
      <c r="A17" s="164">
        <v>4</v>
      </c>
      <c r="B17" s="442" t="str">
        <f>'SIN. VERTICAL'!B16</f>
        <v>AV. DRº RUI EVANGELISTA DA EXALTAÇÃO</v>
      </c>
      <c r="C17" s="443"/>
      <c r="D17" s="221">
        <f>95.2+162.59</f>
        <v>257.79000000000002</v>
      </c>
      <c r="E17" s="177">
        <v>6.4</v>
      </c>
      <c r="F17" s="222">
        <f t="shared" si="0"/>
        <v>1649.8560000000002</v>
      </c>
      <c r="G17" s="221">
        <v>0</v>
      </c>
      <c r="H17" s="222">
        <f t="shared" si="1"/>
        <v>1649.8560000000002</v>
      </c>
      <c r="I17" s="223">
        <v>1.1999999999999999E-3</v>
      </c>
      <c r="J17" s="224">
        <f t="shared" si="2"/>
        <v>1.9798272000000001</v>
      </c>
    </row>
    <row r="18" spans="1:227" s="219" customFormat="1" ht="20.100000000000001" customHeight="1" x14ac:dyDescent="0.2">
      <c r="A18" s="164">
        <v>5</v>
      </c>
      <c r="B18" s="442" t="str">
        <f>'SIN. VERTICAL'!B17</f>
        <v>RUA MIRO HENRIQUE VIEIRA FREIRE</v>
      </c>
      <c r="C18" s="443"/>
      <c r="D18" s="221">
        <f>62.67+10.76+76.88+14.38+44.51+113.24</f>
        <v>322.44</v>
      </c>
      <c r="E18" s="177">
        <v>6.4</v>
      </c>
      <c r="F18" s="222">
        <f t="shared" si="0"/>
        <v>2063.616</v>
      </c>
      <c r="G18" s="221">
        <v>16.989999999999998</v>
      </c>
      <c r="H18" s="222">
        <f t="shared" si="1"/>
        <v>2080.6059999999998</v>
      </c>
      <c r="I18" s="223">
        <v>1.1999999999999999E-3</v>
      </c>
      <c r="J18" s="224">
        <f t="shared" si="2"/>
        <v>2.4967271999999996</v>
      </c>
    </row>
    <row r="19" spans="1:227" s="219" customFormat="1" ht="20.100000000000001" customHeight="1" x14ac:dyDescent="0.2">
      <c r="A19" s="164">
        <v>6</v>
      </c>
      <c r="B19" s="442" t="str">
        <f>'SIN. VERTICAL'!B18</f>
        <v>RUA MARIA MARTA VIEIRA</v>
      </c>
      <c r="C19" s="443"/>
      <c r="D19" s="221">
        <f>56.73+63.4+11+81.02</f>
        <v>212.14999999999998</v>
      </c>
      <c r="E19" s="177">
        <v>6.4</v>
      </c>
      <c r="F19" s="222">
        <f t="shared" si="0"/>
        <v>1357.76</v>
      </c>
      <c r="G19" s="221">
        <v>0</v>
      </c>
      <c r="H19" s="222">
        <f t="shared" si="1"/>
        <v>1357.76</v>
      </c>
      <c r="I19" s="223">
        <v>1.1999999999999999E-3</v>
      </c>
      <c r="J19" s="224">
        <f t="shared" si="2"/>
        <v>1.6293119999999999</v>
      </c>
    </row>
    <row r="20" spans="1:227" s="219" customFormat="1" ht="20.100000000000001" customHeight="1" x14ac:dyDescent="0.2">
      <c r="A20" s="164">
        <v>7</v>
      </c>
      <c r="B20" s="442" t="str">
        <f>'SIN. VERTICAL'!B19</f>
        <v>AV. DIONITA JUVENAL DA EXALTAÇÃO</v>
      </c>
      <c r="C20" s="443"/>
      <c r="D20" s="221">
        <v>67.02</v>
      </c>
      <c r="E20" s="177">
        <v>6.4</v>
      </c>
      <c r="F20" s="222">
        <f t="shared" si="0"/>
        <v>428.928</v>
      </c>
      <c r="G20" s="221">
        <v>23.14</v>
      </c>
      <c r="H20" s="222">
        <f t="shared" si="1"/>
        <v>452.06799999999998</v>
      </c>
      <c r="I20" s="223">
        <v>1.1999999999999999E-3</v>
      </c>
      <c r="J20" s="224">
        <f t="shared" si="2"/>
        <v>0.5424815999999999</v>
      </c>
    </row>
    <row r="21" spans="1:227" s="219" customFormat="1" ht="20.100000000000001" customHeight="1" x14ac:dyDescent="0.2">
      <c r="A21" s="164">
        <v>8</v>
      </c>
      <c r="B21" s="442" t="str">
        <f>'SIN. VERTICAL'!B20</f>
        <v>AV. EDUARDO VIEIRA</v>
      </c>
      <c r="C21" s="443"/>
      <c r="D21" s="221">
        <f>77.43+10.36+78.35</f>
        <v>166.14</v>
      </c>
      <c r="E21" s="177">
        <v>6.4</v>
      </c>
      <c r="F21" s="222">
        <f t="shared" si="0"/>
        <v>1063.296</v>
      </c>
      <c r="G21" s="221">
        <v>35.46</v>
      </c>
      <c r="H21" s="222">
        <f t="shared" si="1"/>
        <v>1098.7560000000001</v>
      </c>
      <c r="I21" s="223">
        <v>1.1999999999999999E-3</v>
      </c>
      <c r="J21" s="224">
        <f t="shared" si="2"/>
        <v>1.3185072</v>
      </c>
    </row>
    <row r="22" spans="1:227" s="219" customFormat="1" ht="20.100000000000001" customHeight="1" x14ac:dyDescent="0.2">
      <c r="A22" s="164">
        <v>9</v>
      </c>
      <c r="B22" s="442" t="str">
        <f>'SIN. VERTICAL'!B21</f>
        <v>TRAVESSA A</v>
      </c>
      <c r="C22" s="443"/>
      <c r="D22" s="221">
        <v>99.14</v>
      </c>
      <c r="E22" s="177">
        <v>6.4</v>
      </c>
      <c r="F22" s="222">
        <f t="shared" si="0"/>
        <v>634.49600000000009</v>
      </c>
      <c r="G22" s="221">
        <v>0</v>
      </c>
      <c r="H22" s="222">
        <f t="shared" si="1"/>
        <v>634.49600000000009</v>
      </c>
      <c r="I22" s="223">
        <v>1.1999999999999999E-3</v>
      </c>
      <c r="J22" s="224">
        <f t="shared" si="2"/>
        <v>0.76139520000000005</v>
      </c>
    </row>
    <row r="23" spans="1:227" s="219" customFormat="1" ht="20.100000000000001" customHeight="1" x14ac:dyDescent="0.2">
      <c r="A23" s="164">
        <v>10</v>
      </c>
      <c r="B23" s="442" t="str">
        <f>'SIN. VERTICAL'!B22</f>
        <v>RUA CAETÊ</v>
      </c>
      <c r="C23" s="443"/>
      <c r="D23" s="221">
        <f>64.42+9.3+7.36+64.66+53.28+10.14</f>
        <v>209.16000000000003</v>
      </c>
      <c r="E23" s="177">
        <v>6.4</v>
      </c>
      <c r="F23" s="222">
        <f t="shared" si="0"/>
        <v>1338.6240000000003</v>
      </c>
      <c r="G23" s="221">
        <v>0</v>
      </c>
      <c r="H23" s="222">
        <f t="shared" si="1"/>
        <v>1338.6240000000003</v>
      </c>
      <c r="I23" s="223">
        <v>1.1999999999999999E-3</v>
      </c>
      <c r="J23" s="224">
        <f t="shared" si="2"/>
        <v>1.6063488000000001</v>
      </c>
    </row>
    <row r="24" spans="1:227" s="219" customFormat="1" ht="20.100000000000001" customHeight="1" x14ac:dyDescent="0.2">
      <c r="A24" s="164">
        <v>11</v>
      </c>
      <c r="B24" s="442" t="str">
        <f>'SIN. VERTICAL'!B23</f>
        <v>RUA MARIA MARTA VIEIRA</v>
      </c>
      <c r="C24" s="443"/>
      <c r="D24" s="221">
        <f>148.74+100+144.35</f>
        <v>393.09000000000003</v>
      </c>
      <c r="E24" s="177">
        <v>6.4</v>
      </c>
      <c r="F24" s="222">
        <f t="shared" si="0"/>
        <v>2515.7760000000003</v>
      </c>
      <c r="G24" s="221">
        <v>0</v>
      </c>
      <c r="H24" s="222">
        <f t="shared" si="1"/>
        <v>2515.7760000000003</v>
      </c>
      <c r="I24" s="223">
        <v>1.1999999999999999E-3</v>
      </c>
      <c r="J24" s="224">
        <f t="shared" si="2"/>
        <v>3.0189311999999999</v>
      </c>
    </row>
    <row r="25" spans="1:227" s="219" customFormat="1" ht="20.100000000000001" customHeight="1" x14ac:dyDescent="0.2">
      <c r="A25" s="164">
        <v>12</v>
      </c>
      <c r="B25" s="442" t="str">
        <f>'SIN. VERTICAL'!B24</f>
        <v>RUA 02</v>
      </c>
      <c r="C25" s="443"/>
      <c r="D25" s="221">
        <f>109.38</f>
        <v>109.38</v>
      </c>
      <c r="E25" s="177">
        <v>6.4</v>
      </c>
      <c r="F25" s="222">
        <f t="shared" si="0"/>
        <v>700.03200000000004</v>
      </c>
      <c r="G25" s="221">
        <v>17.11</v>
      </c>
      <c r="H25" s="222">
        <f t="shared" si="1"/>
        <v>717.14200000000005</v>
      </c>
      <c r="I25" s="223">
        <v>1.1999999999999999E-3</v>
      </c>
      <c r="J25" s="224">
        <f t="shared" si="2"/>
        <v>0.86057039999999996</v>
      </c>
    </row>
    <row r="26" spans="1:227" s="219" customFormat="1" ht="20.100000000000001" customHeight="1" x14ac:dyDescent="0.2">
      <c r="A26" s="164">
        <v>13</v>
      </c>
      <c r="B26" s="442" t="str">
        <f>'SIN. VERTICAL'!B25</f>
        <v>RUA E</v>
      </c>
      <c r="C26" s="443"/>
      <c r="D26" s="221">
        <f>79.8+64.18+2.1+80.11</f>
        <v>226.19</v>
      </c>
      <c r="E26" s="177">
        <v>6.4</v>
      </c>
      <c r="F26" s="222">
        <f t="shared" si="0"/>
        <v>1447.616</v>
      </c>
      <c r="G26" s="221">
        <f>8.64+9.04</f>
        <v>17.68</v>
      </c>
      <c r="H26" s="222">
        <f t="shared" si="1"/>
        <v>1465.296</v>
      </c>
      <c r="I26" s="223">
        <v>1.1999999999999999E-3</v>
      </c>
      <c r="J26" s="224">
        <f t="shared" si="2"/>
        <v>1.7583552</v>
      </c>
    </row>
    <row r="27" spans="1:227" s="219" customFormat="1" ht="20.100000000000001" customHeight="1" x14ac:dyDescent="0.2">
      <c r="A27" s="164">
        <v>14</v>
      </c>
      <c r="B27" s="442" t="str">
        <f>'SIN. VERTICAL'!B26</f>
        <v>TV ALTO PARAISO</v>
      </c>
      <c r="C27" s="443"/>
      <c r="D27" s="221">
        <f>97.31</f>
        <v>97.31</v>
      </c>
      <c r="E27" s="177">
        <v>6.4</v>
      </c>
      <c r="F27" s="222">
        <f t="shared" si="0"/>
        <v>622.78400000000011</v>
      </c>
      <c r="G27" s="221">
        <v>0</v>
      </c>
      <c r="H27" s="222">
        <f t="shared" si="1"/>
        <v>622.78400000000011</v>
      </c>
      <c r="I27" s="223">
        <v>1.1999999999999999E-3</v>
      </c>
      <c r="J27" s="224">
        <f t="shared" si="2"/>
        <v>0.74734080000000003</v>
      </c>
    </row>
    <row r="28" spans="1:227" s="226" customFormat="1" ht="20.100000000000001" customHeight="1" x14ac:dyDescent="0.2">
      <c r="A28" s="452" t="s">
        <v>187</v>
      </c>
      <c r="B28" s="453"/>
      <c r="C28" s="453"/>
      <c r="D28" s="156">
        <f>SUM(D14:D27)</f>
        <v>2754.5200000000004</v>
      </c>
      <c r="E28" s="225"/>
      <c r="F28" s="156">
        <f>SUM(F14:F27)</f>
        <v>17628.928</v>
      </c>
      <c r="G28" s="156">
        <f>SUM(G14:G27)</f>
        <v>161.23000000000002</v>
      </c>
      <c r="H28" s="156">
        <f>SUM(H14:H27)</f>
        <v>17790.157999999999</v>
      </c>
      <c r="I28" s="156"/>
      <c r="J28" s="156">
        <f>SUM(J14:J27)</f>
        <v>21.348189600000005</v>
      </c>
      <c r="K28" s="157"/>
      <c r="L28" s="157"/>
      <c r="M28" s="158"/>
      <c r="N28" s="159"/>
      <c r="O28" s="157"/>
      <c r="P28" s="157"/>
      <c r="Q28" s="157"/>
      <c r="R28" s="157"/>
      <c r="S28" s="158"/>
      <c r="T28" s="159"/>
      <c r="U28" s="157"/>
      <c r="V28" s="157"/>
      <c r="W28" s="157"/>
      <c r="X28" s="157"/>
      <c r="Y28" s="158"/>
      <c r="Z28" s="159"/>
      <c r="AA28" s="157"/>
      <c r="AB28" s="157"/>
      <c r="AC28" s="157"/>
      <c r="AD28" s="157"/>
      <c r="AE28" s="158"/>
      <c r="AF28" s="159"/>
      <c r="AG28" s="157"/>
      <c r="AH28" s="157"/>
      <c r="AI28" s="157"/>
      <c r="AJ28" s="157"/>
      <c r="AK28" s="158"/>
      <c r="AL28" s="159"/>
      <c r="AM28" s="157"/>
      <c r="AN28" s="157"/>
      <c r="AO28" s="157"/>
      <c r="AP28" s="157"/>
      <c r="AQ28" s="158"/>
      <c r="AR28" s="159"/>
      <c r="AS28" s="157"/>
      <c r="AT28" s="157"/>
      <c r="AU28" s="157"/>
      <c r="AV28" s="157"/>
      <c r="AW28" s="158"/>
      <c r="AX28" s="159"/>
      <c r="AY28" s="157"/>
      <c r="AZ28" s="157"/>
      <c r="BA28" s="157"/>
      <c r="BB28" s="157"/>
      <c r="BC28" s="158"/>
      <c r="BD28" s="159"/>
      <c r="BE28" s="157"/>
      <c r="BF28" s="157"/>
      <c r="BG28" s="157"/>
      <c r="BH28" s="157"/>
      <c r="BI28" s="158"/>
      <c r="BJ28" s="159"/>
      <c r="BK28" s="157"/>
      <c r="BL28" s="157"/>
      <c r="BM28" s="157"/>
      <c r="BN28" s="157"/>
      <c r="BO28" s="158"/>
      <c r="BP28" s="159"/>
      <c r="BQ28" s="157"/>
      <c r="BR28" s="157"/>
      <c r="BS28" s="157"/>
      <c r="BT28" s="157"/>
      <c r="BU28" s="158"/>
      <c r="BV28" s="159"/>
      <c r="BW28" s="157"/>
      <c r="BX28" s="157"/>
      <c r="BY28" s="157"/>
      <c r="BZ28" s="157"/>
      <c r="CA28" s="158"/>
      <c r="CB28" s="159"/>
      <c r="CC28" s="157"/>
      <c r="CD28" s="157"/>
      <c r="CE28" s="157"/>
      <c r="CF28" s="157"/>
      <c r="CG28" s="158"/>
      <c r="CH28" s="159"/>
      <c r="CI28" s="157"/>
      <c r="CJ28" s="157"/>
      <c r="CK28" s="157"/>
      <c r="CL28" s="157"/>
      <c r="CM28" s="158"/>
      <c r="CN28" s="159"/>
      <c r="CO28" s="157"/>
      <c r="CP28" s="157"/>
      <c r="CQ28" s="157"/>
      <c r="CR28" s="157"/>
      <c r="CS28" s="158"/>
      <c r="CT28" s="159"/>
      <c r="CU28" s="157"/>
      <c r="CV28" s="157"/>
      <c r="CW28" s="157"/>
      <c r="CX28" s="157"/>
      <c r="CY28" s="158"/>
      <c r="CZ28" s="159"/>
      <c r="DA28" s="157"/>
      <c r="DB28" s="157"/>
      <c r="DC28" s="157"/>
      <c r="DD28" s="157"/>
      <c r="DE28" s="158"/>
      <c r="DF28" s="159"/>
      <c r="DG28" s="157"/>
      <c r="DH28" s="157"/>
      <c r="DI28" s="157"/>
      <c r="DJ28" s="157"/>
      <c r="DK28" s="158"/>
      <c r="DL28" s="159"/>
      <c r="DM28" s="157"/>
      <c r="DN28" s="157"/>
      <c r="DO28" s="157"/>
      <c r="DP28" s="157"/>
      <c r="DQ28" s="158"/>
      <c r="DR28" s="159"/>
      <c r="DS28" s="157"/>
      <c r="DT28" s="157"/>
      <c r="DU28" s="157"/>
      <c r="DV28" s="157"/>
      <c r="DW28" s="158"/>
      <c r="DX28" s="159"/>
      <c r="DY28" s="157"/>
      <c r="DZ28" s="157"/>
      <c r="EA28" s="157"/>
      <c r="EB28" s="157"/>
      <c r="EC28" s="158"/>
      <c r="ED28" s="159"/>
      <c r="EE28" s="157"/>
      <c r="EF28" s="157"/>
      <c r="EG28" s="157"/>
      <c r="EH28" s="157"/>
      <c r="EI28" s="158"/>
      <c r="EJ28" s="159"/>
      <c r="EK28" s="157"/>
      <c r="EL28" s="157"/>
      <c r="EM28" s="157"/>
      <c r="EN28" s="157"/>
      <c r="EO28" s="158"/>
      <c r="EP28" s="159"/>
      <c r="EQ28" s="157"/>
      <c r="ER28" s="157"/>
      <c r="ES28" s="157"/>
      <c r="ET28" s="157"/>
      <c r="EU28" s="158"/>
      <c r="EV28" s="159"/>
      <c r="EW28" s="157"/>
      <c r="EX28" s="157"/>
      <c r="EY28" s="157"/>
      <c r="EZ28" s="157"/>
      <c r="FA28" s="158"/>
      <c r="FB28" s="159"/>
      <c r="FC28" s="157"/>
      <c r="FD28" s="157"/>
      <c r="FE28" s="157"/>
      <c r="FF28" s="157"/>
      <c r="FG28" s="158"/>
      <c r="FH28" s="159"/>
      <c r="FI28" s="157"/>
      <c r="FJ28" s="157"/>
      <c r="FK28" s="157"/>
      <c r="FL28" s="157"/>
      <c r="FM28" s="158"/>
      <c r="FN28" s="159"/>
      <c r="FO28" s="157"/>
      <c r="FP28" s="157"/>
      <c r="FQ28" s="157"/>
      <c r="FR28" s="157"/>
      <c r="FS28" s="158"/>
      <c r="FT28" s="159"/>
      <c r="FU28" s="157"/>
      <c r="FV28" s="157"/>
      <c r="FW28" s="157"/>
      <c r="FX28" s="157"/>
      <c r="FY28" s="158"/>
      <c r="FZ28" s="159"/>
      <c r="GA28" s="157"/>
      <c r="GB28" s="157"/>
      <c r="GC28" s="157"/>
      <c r="GD28" s="157"/>
      <c r="GE28" s="158"/>
      <c r="GF28" s="159"/>
      <c r="GG28" s="157"/>
      <c r="GH28" s="157"/>
      <c r="GI28" s="157"/>
      <c r="GJ28" s="157"/>
      <c r="GK28" s="158"/>
      <c r="GL28" s="159"/>
      <c r="GM28" s="157"/>
      <c r="GN28" s="157"/>
      <c r="GO28" s="157"/>
      <c r="GP28" s="157"/>
      <c r="GQ28" s="158"/>
      <c r="GR28" s="159"/>
      <c r="GS28" s="157"/>
      <c r="GT28" s="157"/>
      <c r="GU28" s="157"/>
      <c r="GV28" s="157"/>
      <c r="GW28" s="158"/>
      <c r="GX28" s="159"/>
      <c r="GY28" s="157"/>
      <c r="GZ28" s="157"/>
      <c r="HA28" s="157"/>
      <c r="HB28" s="157"/>
      <c r="HC28" s="158"/>
      <c r="HD28" s="159"/>
      <c r="HE28" s="157"/>
      <c r="HF28" s="157"/>
      <c r="HG28" s="157"/>
      <c r="HH28" s="157"/>
      <c r="HI28" s="158"/>
      <c r="HJ28" s="159"/>
      <c r="HK28" s="157"/>
      <c r="HL28" s="157"/>
      <c r="HM28" s="157"/>
      <c r="HN28" s="157"/>
      <c r="HO28" s="158"/>
      <c r="HP28" s="159"/>
      <c r="HQ28" s="157"/>
      <c r="HR28" s="157"/>
      <c r="HS28" s="157"/>
    </row>
    <row r="29" spans="1:227" x14ac:dyDescent="0.25">
      <c r="E29" s="228"/>
    </row>
  </sheetData>
  <mergeCells count="30">
    <mergeCell ref="B17:C17"/>
    <mergeCell ref="B18:C18"/>
    <mergeCell ref="B19:C19"/>
    <mergeCell ref="H11:H12"/>
    <mergeCell ref="I11:I12"/>
    <mergeCell ref="B14:C14"/>
    <mergeCell ref="N1:O1"/>
    <mergeCell ref="A2:J2"/>
    <mergeCell ref="A3:J3"/>
    <mergeCell ref="A4:J4"/>
    <mergeCell ref="A5:J5"/>
    <mergeCell ref="A28:C28"/>
    <mergeCell ref="B20:C20"/>
    <mergeCell ref="B21:C21"/>
    <mergeCell ref="B22:C22"/>
    <mergeCell ref="B23:C23"/>
    <mergeCell ref="B24:C24"/>
    <mergeCell ref="B25:C25"/>
    <mergeCell ref="B26:C26"/>
    <mergeCell ref="B27:C27"/>
    <mergeCell ref="B15:C15"/>
    <mergeCell ref="B16:C16"/>
    <mergeCell ref="A10:J10"/>
    <mergeCell ref="A11:A13"/>
    <mergeCell ref="B11:C13"/>
    <mergeCell ref="D11:D12"/>
    <mergeCell ref="E11:E12"/>
    <mergeCell ref="F11:F12"/>
    <mergeCell ref="G11:G12"/>
    <mergeCell ref="J11:J12"/>
  </mergeCells>
  <printOptions horizontalCentered="1"/>
  <pageMargins left="0.15748031496062992" right="0.19685039370078741" top="0.78740157480314965" bottom="0.78740157480314965" header="0.15748031496062992" footer="0.31496062992125984"/>
  <pageSetup paperSize="9" scale="86" firstPageNumber="25" orientation="landscape" useFirstPageNumber="1" r:id="rId1"/>
  <headerFooter scaleWithDoc="0">
    <oddFooter>&amp;C&amp;"-,Negrito itálico"Kaik Eduardo Silva Vilar
&amp;"-,Regular"Engenheiro Civil
CREA: 241510947-9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A335-907B-4791-8578-E0A0F6549EB7}">
  <dimension ref="A1:HS34"/>
  <sheetViews>
    <sheetView showGridLines="0" view="pageBreakPreview" zoomScaleNormal="115" zoomScaleSheetLayoutView="100" workbookViewId="0">
      <selection activeCell="C9" sqref="C9"/>
    </sheetView>
  </sheetViews>
  <sheetFormatPr defaultRowHeight="15" x14ac:dyDescent="0.25"/>
  <cols>
    <col min="1" max="1" width="9" style="227"/>
    <col min="2" max="2" width="5.25" style="227" customWidth="1"/>
    <col min="3" max="3" width="35.625" style="227" customWidth="1"/>
    <col min="4" max="9" width="13.75" style="227" customWidth="1"/>
    <col min="10" max="10" width="16.125" style="227" customWidth="1"/>
    <col min="11" max="16384" width="9" style="227"/>
  </cols>
  <sheetData>
    <row r="1" spans="1:17" s="11" customFormat="1" ht="7.5" customHeight="1" x14ac:dyDescent="0.25">
      <c r="B1" s="8"/>
      <c r="C1" s="9"/>
      <c r="D1" s="9"/>
      <c r="E1" s="10"/>
      <c r="F1" s="9"/>
      <c r="G1" s="10"/>
      <c r="H1" s="9"/>
      <c r="I1" s="10"/>
      <c r="J1" s="9"/>
      <c r="K1" s="10"/>
      <c r="L1" s="10"/>
      <c r="M1" s="9"/>
      <c r="N1" s="454"/>
      <c r="O1" s="455"/>
      <c r="P1" s="12"/>
    </row>
    <row r="2" spans="1:17" customFormat="1" ht="18.75" x14ac:dyDescent="0.2">
      <c r="A2" s="456" t="s">
        <v>170</v>
      </c>
      <c r="B2" s="457"/>
      <c r="C2" s="457"/>
      <c r="D2" s="457"/>
      <c r="E2" s="457"/>
      <c r="F2" s="457"/>
      <c r="G2" s="457"/>
      <c r="H2" s="457"/>
      <c r="I2" s="457"/>
      <c r="J2" s="457"/>
      <c r="K2" s="255"/>
      <c r="L2" s="255"/>
      <c r="M2" s="255"/>
      <c r="N2" s="255"/>
      <c r="O2" s="255"/>
      <c r="P2" s="255"/>
      <c r="Q2" s="255"/>
    </row>
    <row r="3" spans="1:17" customFormat="1" ht="15.75" x14ac:dyDescent="0.2">
      <c r="A3" s="325" t="s">
        <v>171</v>
      </c>
      <c r="B3" s="326"/>
      <c r="C3" s="326"/>
      <c r="D3" s="326"/>
      <c r="E3" s="326"/>
      <c r="F3" s="326"/>
      <c r="G3" s="326"/>
      <c r="H3" s="326"/>
      <c r="I3" s="326"/>
      <c r="J3" s="326"/>
      <c r="K3" s="124"/>
      <c r="L3" s="124"/>
      <c r="M3" s="124"/>
      <c r="N3" s="124"/>
      <c r="O3" s="124"/>
      <c r="P3" s="124"/>
      <c r="Q3" s="124"/>
    </row>
    <row r="4" spans="1:17" customFormat="1" ht="14.25" x14ac:dyDescent="0.2">
      <c r="A4" s="328" t="s">
        <v>172</v>
      </c>
      <c r="B4" s="329"/>
      <c r="C4" s="329"/>
      <c r="D4" s="329"/>
      <c r="E4" s="329"/>
      <c r="F4" s="329"/>
      <c r="G4" s="329"/>
      <c r="H4" s="329"/>
      <c r="I4" s="329"/>
      <c r="J4" s="329"/>
      <c r="K4" s="125"/>
      <c r="L4" s="125"/>
      <c r="M4" s="125"/>
      <c r="N4" s="125"/>
      <c r="O4" s="125"/>
      <c r="P4" s="125"/>
      <c r="Q4" s="125"/>
    </row>
    <row r="5" spans="1:17" customFormat="1" ht="14.25" x14ac:dyDescent="0.2">
      <c r="A5" s="328" t="s">
        <v>173</v>
      </c>
      <c r="B5" s="329"/>
      <c r="C5" s="329"/>
      <c r="D5" s="329"/>
      <c r="E5" s="329"/>
      <c r="F5" s="329"/>
      <c r="G5" s="329"/>
      <c r="H5" s="329"/>
      <c r="I5" s="329"/>
      <c r="J5" s="329"/>
      <c r="K5" s="125"/>
      <c r="L5" s="125"/>
      <c r="M5" s="125"/>
      <c r="N5" s="125"/>
      <c r="O5" s="125"/>
      <c r="P5" s="125"/>
      <c r="Q5" s="125"/>
    </row>
    <row r="6" spans="1:17" s="4" customFormat="1" x14ac:dyDescent="0.25">
      <c r="A6" s="24" t="s">
        <v>65</v>
      </c>
      <c r="B6" s="25"/>
      <c r="C6" s="25" t="s">
        <v>66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7" s="4" customFormat="1" x14ac:dyDescent="0.25">
      <c r="A7" s="24" t="s">
        <v>67</v>
      </c>
      <c r="B7" s="25"/>
      <c r="C7" s="25" t="s">
        <v>68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7" s="4" customFormat="1" x14ac:dyDescent="0.25">
      <c r="A8" s="24" t="s">
        <v>69</v>
      </c>
      <c r="B8" s="25"/>
      <c r="C8" s="25" t="s">
        <v>170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7" s="4" customFormat="1" x14ac:dyDescent="0.25">
      <c r="A9" s="24" t="s">
        <v>70</v>
      </c>
      <c r="B9" s="26"/>
      <c r="C9" s="26" t="s">
        <v>411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7" s="218" customFormat="1" ht="22.5" customHeight="1" x14ac:dyDescent="0.2">
      <c r="A10" s="414" t="s">
        <v>282</v>
      </c>
      <c r="B10" s="415"/>
      <c r="C10" s="415"/>
      <c r="D10" s="415"/>
      <c r="E10" s="415"/>
      <c r="F10" s="415"/>
      <c r="G10" s="415"/>
      <c r="H10" s="415"/>
      <c r="I10" s="415"/>
      <c r="J10" s="415"/>
    </row>
    <row r="11" spans="1:17" s="219" customFormat="1" ht="12.75" customHeight="1" x14ac:dyDescent="0.2">
      <c r="A11" s="445" t="s">
        <v>90</v>
      </c>
      <c r="B11" s="446" t="s">
        <v>177</v>
      </c>
      <c r="C11" s="447"/>
      <c r="D11" s="448" t="s">
        <v>179</v>
      </c>
      <c r="E11" s="448" t="s">
        <v>180</v>
      </c>
      <c r="F11" s="450" t="s">
        <v>245</v>
      </c>
      <c r="G11" s="450" t="s">
        <v>277</v>
      </c>
      <c r="H11" s="450" t="s">
        <v>262</v>
      </c>
      <c r="I11" s="450" t="s">
        <v>278</v>
      </c>
      <c r="J11" s="450" t="s">
        <v>283</v>
      </c>
    </row>
    <row r="12" spans="1:17" s="219" customFormat="1" ht="12.75" x14ac:dyDescent="0.2">
      <c r="A12" s="445"/>
      <c r="B12" s="446"/>
      <c r="C12" s="447"/>
      <c r="D12" s="449"/>
      <c r="E12" s="449"/>
      <c r="F12" s="451"/>
      <c r="G12" s="451"/>
      <c r="H12" s="451"/>
      <c r="I12" s="451"/>
      <c r="J12" s="451"/>
    </row>
    <row r="13" spans="1:17" s="219" customFormat="1" ht="22.5" customHeight="1" x14ac:dyDescent="0.2">
      <c r="A13" s="417"/>
      <c r="B13" s="420"/>
      <c r="C13" s="421"/>
      <c r="D13" s="152" t="s">
        <v>184</v>
      </c>
      <c r="E13" s="152" t="s">
        <v>184</v>
      </c>
      <c r="F13" s="152" t="s">
        <v>185</v>
      </c>
      <c r="G13" s="152" t="s">
        <v>185</v>
      </c>
      <c r="H13" s="152" t="s">
        <v>185</v>
      </c>
      <c r="I13" s="152" t="s">
        <v>280</v>
      </c>
      <c r="J13" s="152" t="s">
        <v>281</v>
      </c>
    </row>
    <row r="14" spans="1:17" s="219" customFormat="1" ht="20.100000000000001" customHeight="1" x14ac:dyDescent="0.2">
      <c r="A14" s="164">
        <v>1</v>
      </c>
      <c r="B14" s="442" t="str">
        <f>IMPRIMAÇÃO!B14</f>
        <v>ALAMEDA DAS GARRINCHAS</v>
      </c>
      <c r="C14" s="443"/>
      <c r="D14" s="221">
        <f>IMPRIMAÇÃO!D14</f>
        <v>222.42</v>
      </c>
      <c r="E14" s="177">
        <v>6.4</v>
      </c>
      <c r="F14" s="222">
        <f>E14*D14</f>
        <v>1423.4880000000001</v>
      </c>
      <c r="G14" s="221">
        <f>IMPRIMAÇÃO!G14</f>
        <v>16.760000000000002</v>
      </c>
      <c r="H14" s="222">
        <f>G14+F14</f>
        <v>1440.248</v>
      </c>
      <c r="I14" s="223">
        <v>2.8E-3</v>
      </c>
      <c r="J14" s="224">
        <f>I14*H14</f>
        <v>4.0326944000000005</v>
      </c>
    </row>
    <row r="15" spans="1:17" s="219" customFormat="1" ht="20.100000000000001" customHeight="1" x14ac:dyDescent="0.2">
      <c r="A15" s="164">
        <v>2</v>
      </c>
      <c r="B15" s="442" t="str">
        <f>IMPRIMAÇÃO!B15</f>
        <v>RUA MARIA DE LOURDES VIEIRA</v>
      </c>
      <c r="C15" s="443"/>
      <c r="D15" s="221">
        <f>IMPRIMAÇÃO!D15</f>
        <v>219.54000000000002</v>
      </c>
      <c r="E15" s="177">
        <v>6.4</v>
      </c>
      <c r="F15" s="222">
        <f t="shared" ref="F15:F27" si="0">E15*D15</f>
        <v>1405.0560000000003</v>
      </c>
      <c r="G15" s="221">
        <f>IMPRIMAÇÃO!G15</f>
        <v>17.100000000000001</v>
      </c>
      <c r="H15" s="222">
        <f t="shared" ref="H15:H27" si="1">G15+F15</f>
        <v>1422.1560000000002</v>
      </c>
      <c r="I15" s="223">
        <v>2.8E-3</v>
      </c>
      <c r="J15" s="224">
        <f t="shared" ref="J15:J27" si="2">I15*H15</f>
        <v>3.9820368000000004</v>
      </c>
    </row>
    <row r="16" spans="1:17" s="219" customFormat="1" ht="20.100000000000001" customHeight="1" x14ac:dyDescent="0.2">
      <c r="A16" s="164">
        <v>3</v>
      </c>
      <c r="B16" s="442" t="str">
        <f>IMPRIMAÇÃO!B16</f>
        <v>AV. JUVENTINO CIPRIANO DA EXALTAÇÃO</v>
      </c>
      <c r="C16" s="443"/>
      <c r="D16" s="221">
        <f>IMPRIMAÇÃO!D16</f>
        <v>152.75</v>
      </c>
      <c r="E16" s="177">
        <v>6.4</v>
      </c>
      <c r="F16" s="222">
        <f t="shared" si="0"/>
        <v>977.6</v>
      </c>
      <c r="G16" s="221">
        <f>IMPRIMAÇÃO!G16</f>
        <v>16.989999999999998</v>
      </c>
      <c r="H16" s="222">
        <f t="shared" si="1"/>
        <v>994.59</v>
      </c>
      <c r="I16" s="223">
        <v>2.8E-3</v>
      </c>
      <c r="J16" s="224">
        <f t="shared" si="2"/>
        <v>2.7848519999999999</v>
      </c>
    </row>
    <row r="17" spans="1:227" s="219" customFormat="1" ht="20.100000000000001" customHeight="1" x14ac:dyDescent="0.2">
      <c r="A17" s="164">
        <v>4</v>
      </c>
      <c r="B17" s="442" t="str">
        <f>IMPRIMAÇÃO!B17</f>
        <v>AV. DRº RUI EVANGELISTA DA EXALTAÇÃO</v>
      </c>
      <c r="C17" s="443"/>
      <c r="D17" s="221">
        <f>IMPRIMAÇÃO!D17</f>
        <v>257.79000000000002</v>
      </c>
      <c r="E17" s="177">
        <v>6.4</v>
      </c>
      <c r="F17" s="222">
        <f t="shared" si="0"/>
        <v>1649.8560000000002</v>
      </c>
      <c r="G17" s="221">
        <f>IMPRIMAÇÃO!G17</f>
        <v>0</v>
      </c>
      <c r="H17" s="222">
        <f t="shared" si="1"/>
        <v>1649.8560000000002</v>
      </c>
      <c r="I17" s="223">
        <v>2.8E-3</v>
      </c>
      <c r="J17" s="224">
        <f t="shared" si="2"/>
        <v>4.6195968000000009</v>
      </c>
    </row>
    <row r="18" spans="1:227" s="219" customFormat="1" ht="20.100000000000001" customHeight="1" x14ac:dyDescent="0.2">
      <c r="A18" s="164">
        <v>5</v>
      </c>
      <c r="B18" s="442" t="str">
        <f>IMPRIMAÇÃO!B18</f>
        <v>RUA MIRO HENRIQUE VIEIRA FREIRE</v>
      </c>
      <c r="C18" s="443"/>
      <c r="D18" s="221">
        <f>IMPRIMAÇÃO!D18</f>
        <v>322.44</v>
      </c>
      <c r="E18" s="177">
        <v>6.4</v>
      </c>
      <c r="F18" s="222">
        <f t="shared" si="0"/>
        <v>2063.616</v>
      </c>
      <c r="G18" s="221">
        <f>IMPRIMAÇÃO!G18</f>
        <v>16.989999999999998</v>
      </c>
      <c r="H18" s="222">
        <f t="shared" si="1"/>
        <v>2080.6059999999998</v>
      </c>
      <c r="I18" s="223">
        <v>2.8E-3</v>
      </c>
      <c r="J18" s="224">
        <f t="shared" si="2"/>
        <v>5.8256967999999993</v>
      </c>
    </row>
    <row r="19" spans="1:227" s="219" customFormat="1" ht="20.100000000000001" customHeight="1" x14ac:dyDescent="0.2">
      <c r="A19" s="164">
        <v>6</v>
      </c>
      <c r="B19" s="442" t="str">
        <f>IMPRIMAÇÃO!B19</f>
        <v>RUA MARIA MARTA VIEIRA</v>
      </c>
      <c r="C19" s="443"/>
      <c r="D19" s="221">
        <f>IMPRIMAÇÃO!D19</f>
        <v>212.14999999999998</v>
      </c>
      <c r="E19" s="177">
        <v>6.4</v>
      </c>
      <c r="F19" s="222">
        <f t="shared" si="0"/>
        <v>1357.76</v>
      </c>
      <c r="G19" s="221">
        <f>IMPRIMAÇÃO!G19</f>
        <v>0</v>
      </c>
      <c r="H19" s="222">
        <f t="shared" si="1"/>
        <v>1357.76</v>
      </c>
      <c r="I19" s="223">
        <v>2.8E-3</v>
      </c>
      <c r="J19" s="224">
        <f t="shared" si="2"/>
        <v>3.8017279999999998</v>
      </c>
    </row>
    <row r="20" spans="1:227" s="219" customFormat="1" ht="20.100000000000001" customHeight="1" x14ac:dyDescent="0.2">
      <c r="A20" s="164">
        <v>7</v>
      </c>
      <c r="B20" s="442" t="str">
        <f>IMPRIMAÇÃO!B20</f>
        <v>AV. DIONITA JUVENAL DA EXALTAÇÃO</v>
      </c>
      <c r="C20" s="443"/>
      <c r="D20" s="221">
        <f>IMPRIMAÇÃO!D20</f>
        <v>67.02</v>
      </c>
      <c r="E20" s="177">
        <v>6.4</v>
      </c>
      <c r="F20" s="222">
        <f t="shared" si="0"/>
        <v>428.928</v>
      </c>
      <c r="G20" s="221">
        <f>IMPRIMAÇÃO!G20</f>
        <v>23.14</v>
      </c>
      <c r="H20" s="222">
        <f t="shared" si="1"/>
        <v>452.06799999999998</v>
      </c>
      <c r="I20" s="223">
        <v>2.8E-3</v>
      </c>
      <c r="J20" s="224">
        <f t="shared" si="2"/>
        <v>1.2657904</v>
      </c>
    </row>
    <row r="21" spans="1:227" s="219" customFormat="1" ht="20.100000000000001" customHeight="1" x14ac:dyDescent="0.2">
      <c r="A21" s="164">
        <v>8</v>
      </c>
      <c r="B21" s="442" t="str">
        <f>IMPRIMAÇÃO!B21</f>
        <v>AV. EDUARDO VIEIRA</v>
      </c>
      <c r="C21" s="443"/>
      <c r="D21" s="221">
        <f>IMPRIMAÇÃO!D21</f>
        <v>166.14</v>
      </c>
      <c r="E21" s="177">
        <v>6.4</v>
      </c>
      <c r="F21" s="222">
        <f t="shared" si="0"/>
        <v>1063.296</v>
      </c>
      <c r="G21" s="221">
        <f>IMPRIMAÇÃO!G21</f>
        <v>35.46</v>
      </c>
      <c r="H21" s="222">
        <f t="shared" si="1"/>
        <v>1098.7560000000001</v>
      </c>
      <c r="I21" s="223">
        <v>2.8E-3</v>
      </c>
      <c r="J21" s="224">
        <f t="shared" si="2"/>
        <v>3.0765168000000003</v>
      </c>
    </row>
    <row r="22" spans="1:227" s="219" customFormat="1" ht="20.100000000000001" customHeight="1" x14ac:dyDescent="0.2">
      <c r="A22" s="164">
        <v>9</v>
      </c>
      <c r="B22" s="442" t="str">
        <f>IMPRIMAÇÃO!B22</f>
        <v>TRAVESSA A</v>
      </c>
      <c r="C22" s="443"/>
      <c r="D22" s="221">
        <f>IMPRIMAÇÃO!D22</f>
        <v>99.14</v>
      </c>
      <c r="E22" s="177">
        <v>6.4</v>
      </c>
      <c r="F22" s="222">
        <f t="shared" si="0"/>
        <v>634.49600000000009</v>
      </c>
      <c r="G22" s="221">
        <f>IMPRIMAÇÃO!G22</f>
        <v>0</v>
      </c>
      <c r="H22" s="222">
        <f t="shared" si="1"/>
        <v>634.49600000000009</v>
      </c>
      <c r="I22" s="223">
        <v>2.8E-3</v>
      </c>
      <c r="J22" s="224">
        <f t="shared" si="2"/>
        <v>1.7765888000000003</v>
      </c>
    </row>
    <row r="23" spans="1:227" s="219" customFormat="1" ht="20.100000000000001" customHeight="1" x14ac:dyDescent="0.2">
      <c r="A23" s="164">
        <v>10</v>
      </c>
      <c r="B23" s="442" t="str">
        <f>IMPRIMAÇÃO!B23</f>
        <v>RUA CAETÊ</v>
      </c>
      <c r="C23" s="443"/>
      <c r="D23" s="221">
        <f>IMPRIMAÇÃO!D23</f>
        <v>209.16000000000003</v>
      </c>
      <c r="E23" s="177">
        <v>6.4</v>
      </c>
      <c r="F23" s="222">
        <f t="shared" si="0"/>
        <v>1338.6240000000003</v>
      </c>
      <c r="G23" s="221">
        <f>IMPRIMAÇÃO!G23</f>
        <v>0</v>
      </c>
      <c r="H23" s="222">
        <f t="shared" si="1"/>
        <v>1338.6240000000003</v>
      </c>
      <c r="I23" s="223">
        <v>2.8E-3</v>
      </c>
      <c r="J23" s="224">
        <f t="shared" si="2"/>
        <v>3.7481472000000005</v>
      </c>
    </row>
    <row r="24" spans="1:227" s="219" customFormat="1" ht="20.100000000000001" customHeight="1" x14ac:dyDescent="0.2">
      <c r="A24" s="164">
        <v>11</v>
      </c>
      <c r="B24" s="442" t="str">
        <f>IMPRIMAÇÃO!B24</f>
        <v>RUA MARIA MARTA VIEIRA</v>
      </c>
      <c r="C24" s="443"/>
      <c r="D24" s="221">
        <f>IMPRIMAÇÃO!D24</f>
        <v>393.09000000000003</v>
      </c>
      <c r="E24" s="177">
        <v>6.4</v>
      </c>
      <c r="F24" s="222">
        <f t="shared" si="0"/>
        <v>2515.7760000000003</v>
      </c>
      <c r="G24" s="221">
        <f>IMPRIMAÇÃO!G24</f>
        <v>0</v>
      </c>
      <c r="H24" s="222">
        <f t="shared" si="1"/>
        <v>2515.7760000000003</v>
      </c>
      <c r="I24" s="223">
        <v>2.8E-3</v>
      </c>
      <c r="J24" s="224">
        <f t="shared" si="2"/>
        <v>7.044172800000001</v>
      </c>
    </row>
    <row r="25" spans="1:227" s="219" customFormat="1" ht="20.100000000000001" customHeight="1" x14ac:dyDescent="0.2">
      <c r="A25" s="164">
        <v>12</v>
      </c>
      <c r="B25" s="442" t="str">
        <f>IMPRIMAÇÃO!B25</f>
        <v>RUA 02</v>
      </c>
      <c r="C25" s="443"/>
      <c r="D25" s="221">
        <f>IMPRIMAÇÃO!D25</f>
        <v>109.38</v>
      </c>
      <c r="E25" s="177">
        <v>6.4</v>
      </c>
      <c r="F25" s="222">
        <f t="shared" si="0"/>
        <v>700.03200000000004</v>
      </c>
      <c r="G25" s="221">
        <f>IMPRIMAÇÃO!G25</f>
        <v>17.11</v>
      </c>
      <c r="H25" s="222">
        <f t="shared" si="1"/>
        <v>717.14200000000005</v>
      </c>
      <c r="I25" s="223">
        <v>2.8E-3</v>
      </c>
      <c r="J25" s="224">
        <f t="shared" si="2"/>
        <v>2.0079975999999999</v>
      </c>
    </row>
    <row r="26" spans="1:227" s="219" customFormat="1" ht="20.100000000000001" customHeight="1" x14ac:dyDescent="0.2">
      <c r="A26" s="164">
        <v>13</v>
      </c>
      <c r="B26" s="442" t="str">
        <f>IMPRIMAÇÃO!B26</f>
        <v>RUA E</v>
      </c>
      <c r="C26" s="443"/>
      <c r="D26" s="221">
        <f>IMPRIMAÇÃO!D26</f>
        <v>226.19</v>
      </c>
      <c r="E26" s="177">
        <v>6.4</v>
      </c>
      <c r="F26" s="222">
        <f t="shared" si="0"/>
        <v>1447.616</v>
      </c>
      <c r="G26" s="221">
        <f>IMPRIMAÇÃO!G26</f>
        <v>17.68</v>
      </c>
      <c r="H26" s="222">
        <f t="shared" si="1"/>
        <v>1465.296</v>
      </c>
      <c r="I26" s="223">
        <v>2.8E-3</v>
      </c>
      <c r="J26" s="224">
        <f t="shared" si="2"/>
        <v>4.1028288000000002</v>
      </c>
    </row>
    <row r="27" spans="1:227" s="219" customFormat="1" ht="20.100000000000001" customHeight="1" x14ac:dyDescent="0.2">
      <c r="A27" s="164">
        <v>14</v>
      </c>
      <c r="B27" s="442" t="str">
        <f>IMPRIMAÇÃO!B27</f>
        <v>TV ALTO PARAISO</v>
      </c>
      <c r="C27" s="443"/>
      <c r="D27" s="221">
        <f>IMPRIMAÇÃO!D27</f>
        <v>97.31</v>
      </c>
      <c r="E27" s="177">
        <v>6.4</v>
      </c>
      <c r="F27" s="222">
        <f t="shared" si="0"/>
        <v>622.78400000000011</v>
      </c>
      <c r="G27" s="221">
        <f>IMPRIMAÇÃO!G27</f>
        <v>0</v>
      </c>
      <c r="H27" s="222">
        <f t="shared" si="1"/>
        <v>622.78400000000011</v>
      </c>
      <c r="I27" s="223">
        <v>2.8E-3</v>
      </c>
      <c r="J27" s="224">
        <f t="shared" si="2"/>
        <v>1.7437952000000003</v>
      </c>
    </row>
    <row r="28" spans="1:227" s="226" customFormat="1" ht="20.100000000000001" customHeight="1" x14ac:dyDescent="0.2">
      <c r="A28" s="452" t="s">
        <v>187</v>
      </c>
      <c r="B28" s="453"/>
      <c r="C28" s="453"/>
      <c r="D28" s="156">
        <f>SUM(D14:D27)</f>
        <v>2754.5200000000004</v>
      </c>
      <c r="E28" s="225"/>
      <c r="F28" s="156">
        <f>SUM(F14:F27)</f>
        <v>17628.928</v>
      </c>
      <c r="G28" s="156">
        <f>SUM(G14:G27)</f>
        <v>161.23000000000002</v>
      </c>
      <c r="H28" s="156">
        <f>SUM(H14:H27)</f>
        <v>17790.157999999999</v>
      </c>
      <c r="I28" s="156"/>
      <c r="J28" s="156">
        <f>SUM(J14:J27)</f>
        <v>49.812442400000002</v>
      </c>
      <c r="K28" s="157"/>
      <c r="L28" s="157"/>
      <c r="M28" s="158"/>
      <c r="N28" s="159"/>
      <c r="O28" s="157"/>
      <c r="P28" s="157"/>
      <c r="Q28" s="157"/>
      <c r="R28" s="157"/>
      <c r="S28" s="158"/>
      <c r="T28" s="159"/>
      <c r="U28" s="157"/>
      <c r="V28" s="157"/>
      <c r="W28" s="157"/>
      <c r="X28" s="157"/>
      <c r="Y28" s="158"/>
      <c r="Z28" s="159"/>
      <c r="AA28" s="157"/>
      <c r="AB28" s="157"/>
      <c r="AC28" s="157"/>
      <c r="AD28" s="157"/>
      <c r="AE28" s="158"/>
      <c r="AF28" s="159"/>
      <c r="AG28" s="157"/>
      <c r="AH28" s="157"/>
      <c r="AI28" s="157"/>
      <c r="AJ28" s="157"/>
      <c r="AK28" s="158"/>
      <c r="AL28" s="159"/>
      <c r="AM28" s="157"/>
      <c r="AN28" s="157"/>
      <c r="AO28" s="157"/>
      <c r="AP28" s="157"/>
      <c r="AQ28" s="158"/>
      <c r="AR28" s="159"/>
      <c r="AS28" s="157"/>
      <c r="AT28" s="157"/>
      <c r="AU28" s="157"/>
      <c r="AV28" s="157"/>
      <c r="AW28" s="158"/>
      <c r="AX28" s="159"/>
      <c r="AY28" s="157"/>
      <c r="AZ28" s="157"/>
      <c r="BA28" s="157"/>
      <c r="BB28" s="157"/>
      <c r="BC28" s="158"/>
      <c r="BD28" s="159"/>
      <c r="BE28" s="157"/>
      <c r="BF28" s="157"/>
      <c r="BG28" s="157"/>
      <c r="BH28" s="157"/>
      <c r="BI28" s="158"/>
      <c r="BJ28" s="159"/>
      <c r="BK28" s="157"/>
      <c r="BL28" s="157"/>
      <c r="BM28" s="157"/>
      <c r="BN28" s="157"/>
      <c r="BO28" s="158"/>
      <c r="BP28" s="159"/>
      <c r="BQ28" s="157"/>
      <c r="BR28" s="157"/>
      <c r="BS28" s="157"/>
      <c r="BT28" s="157"/>
      <c r="BU28" s="158"/>
      <c r="BV28" s="159"/>
      <c r="BW28" s="157"/>
      <c r="BX28" s="157"/>
      <c r="BY28" s="157"/>
      <c r="BZ28" s="157"/>
      <c r="CA28" s="158"/>
      <c r="CB28" s="159"/>
      <c r="CC28" s="157"/>
      <c r="CD28" s="157"/>
      <c r="CE28" s="157"/>
      <c r="CF28" s="157"/>
      <c r="CG28" s="158"/>
      <c r="CH28" s="159"/>
      <c r="CI28" s="157"/>
      <c r="CJ28" s="157"/>
      <c r="CK28" s="157"/>
      <c r="CL28" s="157"/>
      <c r="CM28" s="158"/>
      <c r="CN28" s="159"/>
      <c r="CO28" s="157"/>
      <c r="CP28" s="157"/>
      <c r="CQ28" s="157"/>
      <c r="CR28" s="157"/>
      <c r="CS28" s="158"/>
      <c r="CT28" s="159"/>
      <c r="CU28" s="157"/>
      <c r="CV28" s="157"/>
      <c r="CW28" s="157"/>
      <c r="CX28" s="157"/>
      <c r="CY28" s="158"/>
      <c r="CZ28" s="159"/>
      <c r="DA28" s="157"/>
      <c r="DB28" s="157"/>
      <c r="DC28" s="157"/>
      <c r="DD28" s="157"/>
      <c r="DE28" s="158"/>
      <c r="DF28" s="159"/>
      <c r="DG28" s="157"/>
      <c r="DH28" s="157"/>
      <c r="DI28" s="157"/>
      <c r="DJ28" s="157"/>
      <c r="DK28" s="158"/>
      <c r="DL28" s="159"/>
      <c r="DM28" s="157"/>
      <c r="DN28" s="157"/>
      <c r="DO28" s="157"/>
      <c r="DP28" s="157"/>
      <c r="DQ28" s="158"/>
      <c r="DR28" s="159"/>
      <c r="DS28" s="157"/>
      <c r="DT28" s="157"/>
      <c r="DU28" s="157"/>
      <c r="DV28" s="157"/>
      <c r="DW28" s="158"/>
      <c r="DX28" s="159"/>
      <c r="DY28" s="157"/>
      <c r="DZ28" s="157"/>
      <c r="EA28" s="157"/>
      <c r="EB28" s="157"/>
      <c r="EC28" s="158"/>
      <c r="ED28" s="159"/>
      <c r="EE28" s="157"/>
      <c r="EF28" s="157"/>
      <c r="EG28" s="157"/>
      <c r="EH28" s="157"/>
      <c r="EI28" s="158"/>
      <c r="EJ28" s="159"/>
      <c r="EK28" s="157"/>
      <c r="EL28" s="157"/>
      <c r="EM28" s="157"/>
      <c r="EN28" s="157"/>
      <c r="EO28" s="158"/>
      <c r="EP28" s="159"/>
      <c r="EQ28" s="157"/>
      <c r="ER28" s="157"/>
      <c r="ES28" s="157"/>
      <c r="ET28" s="157"/>
      <c r="EU28" s="158"/>
      <c r="EV28" s="159"/>
      <c r="EW28" s="157"/>
      <c r="EX28" s="157"/>
      <c r="EY28" s="157"/>
      <c r="EZ28" s="157"/>
      <c r="FA28" s="158"/>
      <c r="FB28" s="159"/>
      <c r="FC28" s="157"/>
      <c r="FD28" s="157"/>
      <c r="FE28" s="157"/>
      <c r="FF28" s="157"/>
      <c r="FG28" s="158"/>
      <c r="FH28" s="159"/>
      <c r="FI28" s="157"/>
      <c r="FJ28" s="157"/>
      <c r="FK28" s="157"/>
      <c r="FL28" s="157"/>
      <c r="FM28" s="158"/>
      <c r="FN28" s="159"/>
      <c r="FO28" s="157"/>
      <c r="FP28" s="157"/>
      <c r="FQ28" s="157"/>
      <c r="FR28" s="157"/>
      <c r="FS28" s="158"/>
      <c r="FT28" s="159"/>
      <c r="FU28" s="157"/>
      <c r="FV28" s="157"/>
      <c r="FW28" s="157"/>
      <c r="FX28" s="157"/>
      <c r="FY28" s="158"/>
      <c r="FZ28" s="159"/>
      <c r="GA28" s="157"/>
      <c r="GB28" s="157"/>
      <c r="GC28" s="157"/>
      <c r="GD28" s="157"/>
      <c r="GE28" s="158"/>
      <c r="GF28" s="159"/>
      <c r="GG28" s="157"/>
      <c r="GH28" s="157"/>
      <c r="GI28" s="157"/>
      <c r="GJ28" s="157"/>
      <c r="GK28" s="158"/>
      <c r="GL28" s="159"/>
      <c r="GM28" s="157"/>
      <c r="GN28" s="157"/>
      <c r="GO28" s="157"/>
      <c r="GP28" s="157"/>
      <c r="GQ28" s="158"/>
      <c r="GR28" s="159"/>
      <c r="GS28" s="157"/>
      <c r="GT28" s="157"/>
      <c r="GU28" s="157"/>
      <c r="GV28" s="157"/>
      <c r="GW28" s="158"/>
      <c r="GX28" s="159"/>
      <c r="GY28" s="157"/>
      <c r="GZ28" s="157"/>
      <c r="HA28" s="157"/>
      <c r="HB28" s="157"/>
      <c r="HC28" s="158"/>
      <c r="HD28" s="159"/>
      <c r="HE28" s="157"/>
      <c r="HF28" s="157"/>
      <c r="HG28" s="157"/>
      <c r="HH28" s="157"/>
      <c r="HI28" s="158"/>
      <c r="HJ28" s="159"/>
      <c r="HK28" s="157"/>
      <c r="HL28" s="157"/>
      <c r="HM28" s="157"/>
      <c r="HN28" s="157"/>
      <c r="HO28" s="158"/>
      <c r="HP28" s="159"/>
      <c r="HQ28" s="157"/>
      <c r="HR28" s="157"/>
      <c r="HS28" s="157"/>
    </row>
    <row r="29" spans="1:227" x14ac:dyDescent="0.25">
      <c r="D29" s="229"/>
      <c r="E29" s="229"/>
      <c r="F29" s="229"/>
      <c r="G29" s="229"/>
      <c r="H29" s="229"/>
      <c r="I29" s="229"/>
      <c r="J29" s="229"/>
    </row>
    <row r="34" spans="8:8" x14ac:dyDescent="0.25">
      <c r="H34" s="229"/>
    </row>
  </sheetData>
  <mergeCells count="30">
    <mergeCell ref="B18:C18"/>
    <mergeCell ref="B19:C19"/>
    <mergeCell ref="N1:O1"/>
    <mergeCell ref="A2:J2"/>
    <mergeCell ref="A3:J3"/>
    <mergeCell ref="A4:J4"/>
    <mergeCell ref="A5:J5"/>
    <mergeCell ref="A28:C28"/>
    <mergeCell ref="H11:H12"/>
    <mergeCell ref="I11:I12"/>
    <mergeCell ref="J11:J12"/>
    <mergeCell ref="B14:C14"/>
    <mergeCell ref="B15:C15"/>
    <mergeCell ref="B16:C16"/>
    <mergeCell ref="B20:C20"/>
    <mergeCell ref="B21:C21"/>
    <mergeCell ref="B22:C22"/>
    <mergeCell ref="B23:C23"/>
    <mergeCell ref="B24:C24"/>
    <mergeCell ref="B25:C25"/>
    <mergeCell ref="B26:C26"/>
    <mergeCell ref="B27:C27"/>
    <mergeCell ref="B17:C17"/>
    <mergeCell ref="A10:J10"/>
    <mergeCell ref="A11:A13"/>
    <mergeCell ref="B11:C13"/>
    <mergeCell ref="D11:D12"/>
    <mergeCell ref="E11:E12"/>
    <mergeCell ref="F11:F12"/>
    <mergeCell ref="G11:G12"/>
  </mergeCells>
  <printOptions horizontalCentered="1"/>
  <pageMargins left="0.15748031496062992" right="0.19685039370078741" top="0.78740157480314965" bottom="0.78740157480314965" header="0.15748031496062992" footer="0.31496062992125984"/>
  <pageSetup paperSize="9" scale="85" firstPageNumber="25" orientation="landscape" useFirstPageNumber="1" r:id="rId1"/>
  <headerFooter scaleWithDoc="0">
    <oddFooter>&amp;C&amp;"-,Negrito itálico"Kaik Eduardo Silva Vilar
&amp;"-,Regular"Engenheiro Civil
CREA: 241510947-9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C2DA8-0B71-464D-8B4A-ED1591FF58FA}">
  <sheetPr>
    <pageSetUpPr fitToPage="1"/>
  </sheetPr>
  <dimension ref="A1:HQ31"/>
  <sheetViews>
    <sheetView showGridLines="0" view="pageBreakPreview" zoomScale="85" zoomScaleNormal="115" zoomScaleSheetLayoutView="85" workbookViewId="0">
      <selection activeCell="L20" sqref="L20"/>
    </sheetView>
  </sheetViews>
  <sheetFormatPr defaultRowHeight="15" x14ac:dyDescent="0.25"/>
  <cols>
    <col min="1" max="1" width="9" style="227"/>
    <col min="2" max="2" width="5.25" style="227" customWidth="1"/>
    <col min="3" max="3" width="35.625" style="227" customWidth="1"/>
    <col min="4" max="7" width="13.75" style="227" customWidth="1"/>
    <col min="8" max="8" width="17.625" style="227" customWidth="1"/>
    <col min="9" max="16384" width="9" style="227"/>
  </cols>
  <sheetData>
    <row r="1" spans="1:17" s="11" customFormat="1" ht="7.5" customHeight="1" x14ac:dyDescent="0.25">
      <c r="B1" s="8"/>
      <c r="C1" s="9"/>
      <c r="D1" s="9"/>
      <c r="E1" s="10"/>
      <c r="F1" s="9"/>
      <c r="G1" s="10"/>
      <c r="H1" s="9"/>
      <c r="I1" s="10"/>
      <c r="J1" s="9"/>
      <c r="K1" s="10"/>
      <c r="L1" s="10"/>
      <c r="M1" s="9"/>
      <c r="N1" s="454"/>
      <c r="O1" s="455"/>
      <c r="P1" s="12"/>
    </row>
    <row r="2" spans="1:17" customFormat="1" ht="18.75" x14ac:dyDescent="0.2">
      <c r="A2" s="456" t="s">
        <v>170</v>
      </c>
      <c r="B2" s="457"/>
      <c r="C2" s="457"/>
      <c r="D2" s="457"/>
      <c r="E2" s="457"/>
      <c r="F2" s="457"/>
      <c r="G2" s="457"/>
      <c r="H2" s="457"/>
      <c r="I2" s="457"/>
      <c r="J2" s="457"/>
      <c r="K2" s="255"/>
      <c r="L2" s="255"/>
      <c r="M2" s="255"/>
      <c r="N2" s="255"/>
      <c r="O2" s="255"/>
      <c r="P2" s="255"/>
      <c r="Q2" s="255"/>
    </row>
    <row r="3" spans="1:17" customFormat="1" ht="15.75" x14ac:dyDescent="0.2">
      <c r="A3" s="325" t="s">
        <v>171</v>
      </c>
      <c r="B3" s="326"/>
      <c r="C3" s="326"/>
      <c r="D3" s="326"/>
      <c r="E3" s="326"/>
      <c r="F3" s="326"/>
      <c r="G3" s="326"/>
      <c r="H3" s="326"/>
      <c r="I3" s="326"/>
      <c r="J3" s="326"/>
      <c r="K3" s="124"/>
      <c r="L3" s="124"/>
      <c r="M3" s="124"/>
      <c r="N3" s="124"/>
      <c r="O3" s="124"/>
      <c r="P3" s="124"/>
      <c r="Q3" s="124"/>
    </row>
    <row r="4" spans="1:17" customFormat="1" ht="14.25" x14ac:dyDescent="0.2">
      <c r="A4" s="328" t="s">
        <v>172</v>
      </c>
      <c r="B4" s="329"/>
      <c r="C4" s="329"/>
      <c r="D4" s="329"/>
      <c r="E4" s="329"/>
      <c r="F4" s="329"/>
      <c r="G4" s="329"/>
      <c r="H4" s="329"/>
      <c r="I4" s="329"/>
      <c r="J4" s="329"/>
      <c r="K4" s="125"/>
      <c r="L4" s="125"/>
      <c r="M4" s="125"/>
      <c r="N4" s="125"/>
      <c r="O4" s="125"/>
      <c r="P4" s="125"/>
      <c r="Q4" s="125"/>
    </row>
    <row r="5" spans="1:17" customFormat="1" ht="14.25" x14ac:dyDescent="0.2">
      <c r="A5" s="328" t="s">
        <v>173</v>
      </c>
      <c r="B5" s="329"/>
      <c r="C5" s="329"/>
      <c r="D5" s="329"/>
      <c r="E5" s="329"/>
      <c r="F5" s="329"/>
      <c r="G5" s="329"/>
      <c r="H5" s="329"/>
      <c r="I5" s="329"/>
      <c r="J5" s="329"/>
      <c r="K5" s="125"/>
      <c r="L5" s="125"/>
      <c r="M5" s="125"/>
      <c r="N5" s="125"/>
      <c r="O5" s="125"/>
      <c r="P5" s="125"/>
      <c r="Q5" s="125"/>
    </row>
    <row r="6" spans="1:17" s="4" customFormat="1" x14ac:dyDescent="0.25">
      <c r="A6" s="24" t="s">
        <v>65</v>
      </c>
      <c r="B6" s="25"/>
      <c r="C6" s="25" t="s">
        <v>66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7" s="4" customFormat="1" x14ac:dyDescent="0.25">
      <c r="A7" s="24" t="s">
        <v>67</v>
      </c>
      <c r="B7" s="25"/>
      <c r="C7" s="25" t="s">
        <v>68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7" s="4" customFormat="1" x14ac:dyDescent="0.25">
      <c r="A8" s="24" t="s">
        <v>69</v>
      </c>
      <c r="B8" s="25"/>
      <c r="C8" s="25" t="s">
        <v>170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7" s="4" customFormat="1" x14ac:dyDescent="0.25">
      <c r="A9" s="24" t="s">
        <v>70</v>
      </c>
      <c r="B9" s="26"/>
      <c r="C9" s="26" t="s">
        <v>411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7" s="218" customFormat="1" ht="22.5" customHeight="1" x14ac:dyDescent="0.2">
      <c r="A10" s="414" t="s">
        <v>284</v>
      </c>
      <c r="B10" s="415"/>
      <c r="C10" s="415"/>
      <c r="D10" s="415"/>
      <c r="E10" s="415"/>
      <c r="F10" s="415"/>
      <c r="G10" s="415"/>
      <c r="H10" s="415"/>
    </row>
    <row r="11" spans="1:17" s="218" customFormat="1" ht="22.5" customHeight="1" x14ac:dyDescent="0.2">
      <c r="A11" s="414" t="s">
        <v>285</v>
      </c>
      <c r="B11" s="415"/>
      <c r="C11" s="415"/>
      <c r="D11" s="415"/>
      <c r="E11" s="415"/>
      <c r="F11" s="415"/>
      <c r="G11" s="415"/>
      <c r="H11" s="415"/>
    </row>
    <row r="12" spans="1:17" s="219" customFormat="1" ht="12.75" customHeight="1" x14ac:dyDescent="0.2">
      <c r="A12" s="445" t="s">
        <v>90</v>
      </c>
      <c r="B12" s="446" t="s">
        <v>177</v>
      </c>
      <c r="C12" s="447"/>
      <c r="D12" s="450" t="s">
        <v>286</v>
      </c>
      <c r="E12" s="121" t="s">
        <v>287</v>
      </c>
      <c r="F12" s="230" t="s">
        <v>288</v>
      </c>
      <c r="G12" s="450" t="s">
        <v>289</v>
      </c>
      <c r="H12" s="450" t="s">
        <v>290</v>
      </c>
    </row>
    <row r="13" spans="1:17" s="219" customFormat="1" ht="12.75" x14ac:dyDescent="0.2">
      <c r="A13" s="445"/>
      <c r="B13" s="446"/>
      <c r="C13" s="447"/>
      <c r="D13" s="451"/>
      <c r="E13" s="220" t="s">
        <v>291</v>
      </c>
      <c r="F13" s="220" t="s">
        <v>291</v>
      </c>
      <c r="G13" s="451"/>
      <c r="H13" s="451"/>
    </row>
    <row r="14" spans="1:17" s="219" customFormat="1" ht="22.5" customHeight="1" x14ac:dyDescent="0.2">
      <c r="A14" s="417"/>
      <c r="B14" s="420"/>
      <c r="C14" s="421"/>
      <c r="D14" s="152" t="s">
        <v>185</v>
      </c>
      <c r="E14" s="152" t="s">
        <v>292</v>
      </c>
      <c r="F14" s="152" t="s">
        <v>292</v>
      </c>
      <c r="G14" s="152" t="s">
        <v>293</v>
      </c>
      <c r="H14" s="152" t="s">
        <v>294</v>
      </c>
    </row>
    <row r="15" spans="1:17" s="219" customFormat="1" ht="20.100000000000001" customHeight="1" x14ac:dyDescent="0.2">
      <c r="A15" s="164">
        <v>1</v>
      </c>
      <c r="B15" s="442" t="str">
        <f>IMPRIMAÇÃO!B14</f>
        <v>ALAMEDA DAS GARRINCHAS</v>
      </c>
      <c r="C15" s="443"/>
      <c r="D15" s="221">
        <f>IMPRIMAÇÃO!H14</f>
        <v>1440.248</v>
      </c>
      <c r="E15" s="231">
        <v>5.4999999999999997E-3</v>
      </c>
      <c r="F15" s="231">
        <v>1.15E-2</v>
      </c>
      <c r="G15" s="176">
        <v>60</v>
      </c>
      <c r="H15" s="215">
        <f>(D15*E15+(F15*D15))*G15</f>
        <v>1469.05296</v>
      </c>
    </row>
    <row r="16" spans="1:17" s="219" customFormat="1" ht="20.100000000000001" customHeight="1" x14ac:dyDescent="0.2">
      <c r="A16" s="164">
        <v>2</v>
      </c>
      <c r="B16" s="442" t="str">
        <f>IMPRIMAÇÃO!B15</f>
        <v>RUA MARIA DE LOURDES VIEIRA</v>
      </c>
      <c r="C16" s="443"/>
      <c r="D16" s="221">
        <f>IMPRIMAÇÃO!H15</f>
        <v>1422.1560000000002</v>
      </c>
      <c r="E16" s="231">
        <v>5.4999999999999997E-3</v>
      </c>
      <c r="F16" s="231">
        <v>1.15E-2</v>
      </c>
      <c r="G16" s="176">
        <v>60</v>
      </c>
      <c r="H16" s="215">
        <f t="shared" ref="H16:H28" si="0">(D16*E16+(F16*D16))*G16</f>
        <v>1450.5991200000003</v>
      </c>
    </row>
    <row r="17" spans="1:225" s="219" customFormat="1" ht="20.100000000000001" customHeight="1" x14ac:dyDescent="0.2">
      <c r="A17" s="164">
        <v>3</v>
      </c>
      <c r="B17" s="442" t="str">
        <f>IMPRIMAÇÃO!B16</f>
        <v>AV. JUVENTINO CIPRIANO DA EXALTAÇÃO</v>
      </c>
      <c r="C17" s="443"/>
      <c r="D17" s="221">
        <f>IMPRIMAÇÃO!H16</f>
        <v>994.59</v>
      </c>
      <c r="E17" s="231">
        <v>5.4999999999999997E-3</v>
      </c>
      <c r="F17" s="231">
        <v>1.15E-2</v>
      </c>
      <c r="G17" s="176">
        <v>60</v>
      </c>
      <c r="H17" s="215">
        <f t="shared" si="0"/>
        <v>1014.4818</v>
      </c>
    </row>
    <row r="18" spans="1:225" s="219" customFormat="1" ht="20.100000000000001" customHeight="1" x14ac:dyDescent="0.2">
      <c r="A18" s="164">
        <v>4</v>
      </c>
      <c r="B18" s="442" t="str">
        <f>IMPRIMAÇÃO!B17</f>
        <v>AV. DRº RUI EVANGELISTA DA EXALTAÇÃO</v>
      </c>
      <c r="C18" s="443"/>
      <c r="D18" s="221">
        <f>IMPRIMAÇÃO!H17</f>
        <v>1649.8560000000002</v>
      </c>
      <c r="E18" s="231">
        <v>5.4999999999999997E-3</v>
      </c>
      <c r="F18" s="231">
        <v>1.15E-2</v>
      </c>
      <c r="G18" s="176">
        <v>60</v>
      </c>
      <c r="H18" s="215">
        <f t="shared" si="0"/>
        <v>1682.8531200000002</v>
      </c>
    </row>
    <row r="19" spans="1:225" s="219" customFormat="1" ht="20.100000000000001" customHeight="1" x14ac:dyDescent="0.2">
      <c r="A19" s="164">
        <v>5</v>
      </c>
      <c r="B19" s="442" t="str">
        <f>IMPRIMAÇÃO!B18</f>
        <v>RUA MIRO HENRIQUE VIEIRA FREIRE</v>
      </c>
      <c r="C19" s="443"/>
      <c r="D19" s="221">
        <f>IMPRIMAÇÃO!H18</f>
        <v>2080.6059999999998</v>
      </c>
      <c r="E19" s="231">
        <v>5.4999999999999997E-3</v>
      </c>
      <c r="F19" s="231">
        <v>1.15E-2</v>
      </c>
      <c r="G19" s="176">
        <v>60</v>
      </c>
      <c r="H19" s="215">
        <f t="shared" si="0"/>
        <v>2122.2181199999995</v>
      </c>
    </row>
    <row r="20" spans="1:225" s="219" customFormat="1" ht="20.100000000000001" customHeight="1" x14ac:dyDescent="0.2">
      <c r="A20" s="164">
        <v>6</v>
      </c>
      <c r="B20" s="442" t="str">
        <f>IMPRIMAÇÃO!B19</f>
        <v>RUA MARIA MARTA VIEIRA</v>
      </c>
      <c r="C20" s="443"/>
      <c r="D20" s="221">
        <f>IMPRIMAÇÃO!H19</f>
        <v>1357.76</v>
      </c>
      <c r="E20" s="231">
        <v>5.4999999999999997E-3</v>
      </c>
      <c r="F20" s="231">
        <v>1.15E-2</v>
      </c>
      <c r="G20" s="176">
        <v>60</v>
      </c>
      <c r="H20" s="215">
        <f t="shared" si="0"/>
        <v>1384.9151999999999</v>
      </c>
    </row>
    <row r="21" spans="1:225" s="219" customFormat="1" ht="20.100000000000001" customHeight="1" x14ac:dyDescent="0.2">
      <c r="A21" s="164">
        <v>7</v>
      </c>
      <c r="B21" s="442" t="str">
        <f>IMPRIMAÇÃO!B20</f>
        <v>AV. DIONITA JUVENAL DA EXALTAÇÃO</v>
      </c>
      <c r="C21" s="443"/>
      <c r="D21" s="221">
        <f>IMPRIMAÇÃO!H20</f>
        <v>452.06799999999998</v>
      </c>
      <c r="E21" s="231">
        <v>5.4999999999999997E-3</v>
      </c>
      <c r="F21" s="231">
        <v>1.15E-2</v>
      </c>
      <c r="G21" s="176">
        <v>60</v>
      </c>
      <c r="H21" s="215">
        <f t="shared" si="0"/>
        <v>461.10935999999992</v>
      </c>
    </row>
    <row r="22" spans="1:225" s="219" customFormat="1" ht="20.100000000000001" customHeight="1" x14ac:dyDescent="0.2">
      <c r="A22" s="164">
        <v>8</v>
      </c>
      <c r="B22" s="442" t="str">
        <f>IMPRIMAÇÃO!B21</f>
        <v>AV. EDUARDO VIEIRA</v>
      </c>
      <c r="C22" s="443"/>
      <c r="D22" s="221">
        <f>IMPRIMAÇÃO!H21</f>
        <v>1098.7560000000001</v>
      </c>
      <c r="E22" s="231">
        <v>5.4999999999999997E-3</v>
      </c>
      <c r="F22" s="231">
        <v>1.15E-2</v>
      </c>
      <c r="G22" s="176">
        <v>60</v>
      </c>
      <c r="H22" s="215">
        <f t="shared" si="0"/>
        <v>1120.7311199999999</v>
      </c>
    </row>
    <row r="23" spans="1:225" s="219" customFormat="1" ht="20.100000000000001" customHeight="1" x14ac:dyDescent="0.2">
      <c r="A23" s="164">
        <v>9</v>
      </c>
      <c r="B23" s="442" t="str">
        <f>IMPRIMAÇÃO!B22</f>
        <v>TRAVESSA A</v>
      </c>
      <c r="C23" s="443"/>
      <c r="D23" s="221">
        <f>IMPRIMAÇÃO!H22</f>
        <v>634.49600000000009</v>
      </c>
      <c r="E23" s="231">
        <v>5.4999999999999997E-3</v>
      </c>
      <c r="F23" s="231">
        <v>1.15E-2</v>
      </c>
      <c r="G23" s="176">
        <v>60</v>
      </c>
      <c r="H23" s="215">
        <f t="shared" si="0"/>
        <v>647.18592000000012</v>
      </c>
    </row>
    <row r="24" spans="1:225" s="219" customFormat="1" ht="20.100000000000001" customHeight="1" x14ac:dyDescent="0.2">
      <c r="A24" s="164">
        <v>10</v>
      </c>
      <c r="B24" s="442" t="str">
        <f>IMPRIMAÇÃO!B23</f>
        <v>RUA CAETÊ</v>
      </c>
      <c r="C24" s="443"/>
      <c r="D24" s="221">
        <f>IMPRIMAÇÃO!H23</f>
        <v>1338.6240000000003</v>
      </c>
      <c r="E24" s="231">
        <v>5.4999999999999997E-3</v>
      </c>
      <c r="F24" s="231">
        <v>1.15E-2</v>
      </c>
      <c r="G24" s="176">
        <v>60</v>
      </c>
      <c r="H24" s="215">
        <f t="shared" si="0"/>
        <v>1365.3964800000001</v>
      </c>
    </row>
    <row r="25" spans="1:225" s="219" customFormat="1" ht="20.100000000000001" customHeight="1" x14ac:dyDescent="0.2">
      <c r="A25" s="164">
        <v>11</v>
      </c>
      <c r="B25" s="442" t="str">
        <f>IMPRIMAÇÃO!B24</f>
        <v>RUA MARIA MARTA VIEIRA</v>
      </c>
      <c r="C25" s="443"/>
      <c r="D25" s="221">
        <f>IMPRIMAÇÃO!H24</f>
        <v>2515.7760000000003</v>
      </c>
      <c r="E25" s="231">
        <v>5.4999999999999997E-3</v>
      </c>
      <c r="F25" s="231">
        <v>1.15E-2</v>
      </c>
      <c r="G25" s="176">
        <v>60</v>
      </c>
      <c r="H25" s="215">
        <f t="shared" si="0"/>
        <v>2566.0915200000004</v>
      </c>
    </row>
    <row r="26" spans="1:225" s="219" customFormat="1" ht="20.100000000000001" customHeight="1" x14ac:dyDescent="0.2">
      <c r="A26" s="164">
        <v>12</v>
      </c>
      <c r="B26" s="442" t="str">
        <f>IMPRIMAÇÃO!B25</f>
        <v>RUA 02</v>
      </c>
      <c r="C26" s="443"/>
      <c r="D26" s="221">
        <f>IMPRIMAÇÃO!H25</f>
        <v>717.14200000000005</v>
      </c>
      <c r="E26" s="231">
        <v>5.4999999999999997E-3</v>
      </c>
      <c r="F26" s="231">
        <v>1.15E-2</v>
      </c>
      <c r="G26" s="176">
        <v>60</v>
      </c>
      <c r="H26" s="215">
        <f t="shared" si="0"/>
        <v>731.48483999999996</v>
      </c>
    </row>
    <row r="27" spans="1:225" s="219" customFormat="1" ht="20.100000000000001" customHeight="1" x14ac:dyDescent="0.2">
      <c r="A27" s="164">
        <v>13</v>
      </c>
      <c r="B27" s="442" t="str">
        <f>IMPRIMAÇÃO!B26</f>
        <v>RUA E</v>
      </c>
      <c r="C27" s="443"/>
      <c r="D27" s="221">
        <f>IMPRIMAÇÃO!H26</f>
        <v>1465.296</v>
      </c>
      <c r="E27" s="231">
        <v>5.4999999999999997E-3</v>
      </c>
      <c r="F27" s="231">
        <v>1.15E-2</v>
      </c>
      <c r="G27" s="176">
        <v>60</v>
      </c>
      <c r="H27" s="215">
        <f t="shared" si="0"/>
        <v>1494.6019200000001</v>
      </c>
    </row>
    <row r="28" spans="1:225" s="219" customFormat="1" ht="20.100000000000001" customHeight="1" x14ac:dyDescent="0.2">
      <c r="A28" s="164">
        <v>14</v>
      </c>
      <c r="B28" s="442" t="str">
        <f>IMPRIMAÇÃO!B27</f>
        <v>TV ALTO PARAISO</v>
      </c>
      <c r="C28" s="443"/>
      <c r="D28" s="221">
        <f>IMPRIMAÇÃO!H27</f>
        <v>622.78400000000011</v>
      </c>
      <c r="E28" s="231">
        <v>5.4999999999999997E-3</v>
      </c>
      <c r="F28" s="231">
        <v>1.15E-2</v>
      </c>
      <c r="G28" s="176">
        <v>60</v>
      </c>
      <c r="H28" s="215">
        <f t="shared" si="0"/>
        <v>635.23968000000002</v>
      </c>
    </row>
    <row r="29" spans="1:225" s="226" customFormat="1" ht="20.100000000000001" customHeight="1" x14ac:dyDescent="0.2">
      <c r="A29" s="452" t="s">
        <v>187</v>
      </c>
      <c r="B29" s="453"/>
      <c r="C29" s="453"/>
      <c r="D29" s="156">
        <f>SUM(D15:D28)</f>
        <v>17790.157999999999</v>
      </c>
      <c r="E29" s="225"/>
      <c r="F29" s="156"/>
      <c r="G29" s="156"/>
      <c r="H29" s="156">
        <f>SUM(H15:H28)</f>
        <v>18145.961159999999</v>
      </c>
      <c r="I29" s="157"/>
      <c r="J29" s="157"/>
      <c r="K29" s="158"/>
      <c r="L29" s="159"/>
      <c r="M29" s="157"/>
      <c r="N29" s="157"/>
      <c r="O29" s="157"/>
      <c r="P29" s="157"/>
      <c r="Q29" s="158"/>
      <c r="R29" s="159"/>
      <c r="S29" s="157"/>
      <c r="T29" s="157"/>
      <c r="U29" s="157"/>
      <c r="V29" s="157"/>
      <c r="W29" s="158"/>
      <c r="X29" s="159"/>
      <c r="Y29" s="157"/>
      <c r="Z29" s="157"/>
      <c r="AA29" s="157"/>
      <c r="AB29" s="157"/>
      <c r="AC29" s="158"/>
      <c r="AD29" s="159"/>
      <c r="AE29" s="157"/>
      <c r="AF29" s="157"/>
      <c r="AG29" s="157"/>
      <c r="AH29" s="157"/>
      <c r="AI29" s="158"/>
      <c r="AJ29" s="159"/>
      <c r="AK29" s="157"/>
      <c r="AL29" s="157"/>
      <c r="AM29" s="157"/>
      <c r="AN29" s="157"/>
      <c r="AO29" s="158"/>
      <c r="AP29" s="159"/>
      <c r="AQ29" s="157"/>
      <c r="AR29" s="157"/>
      <c r="AS29" s="157"/>
      <c r="AT29" s="157"/>
      <c r="AU29" s="158"/>
      <c r="AV29" s="159"/>
      <c r="AW29" s="157"/>
      <c r="AX29" s="157"/>
      <c r="AY29" s="157"/>
      <c r="AZ29" s="157"/>
      <c r="BA29" s="158"/>
      <c r="BB29" s="159"/>
      <c r="BC29" s="157"/>
      <c r="BD29" s="157"/>
      <c r="BE29" s="157"/>
      <c r="BF29" s="157"/>
      <c r="BG29" s="158"/>
      <c r="BH29" s="159"/>
      <c r="BI29" s="157"/>
      <c r="BJ29" s="157"/>
      <c r="BK29" s="157"/>
      <c r="BL29" s="157"/>
      <c r="BM29" s="158"/>
      <c r="BN29" s="159"/>
      <c r="BO29" s="157"/>
      <c r="BP29" s="157"/>
      <c r="BQ29" s="157"/>
      <c r="BR29" s="157"/>
      <c r="BS29" s="158"/>
      <c r="BT29" s="159"/>
      <c r="BU29" s="157"/>
      <c r="BV29" s="157"/>
      <c r="BW29" s="157"/>
      <c r="BX29" s="157"/>
      <c r="BY29" s="158"/>
      <c r="BZ29" s="159"/>
      <c r="CA29" s="157"/>
      <c r="CB29" s="157"/>
      <c r="CC29" s="157"/>
      <c r="CD29" s="157"/>
      <c r="CE29" s="158"/>
      <c r="CF29" s="159"/>
      <c r="CG29" s="157"/>
      <c r="CH29" s="157"/>
      <c r="CI29" s="157"/>
      <c r="CJ29" s="157"/>
      <c r="CK29" s="158"/>
      <c r="CL29" s="159"/>
      <c r="CM29" s="157"/>
      <c r="CN29" s="157"/>
      <c r="CO29" s="157"/>
      <c r="CP29" s="157"/>
      <c r="CQ29" s="158"/>
      <c r="CR29" s="159"/>
      <c r="CS29" s="157"/>
      <c r="CT29" s="157"/>
      <c r="CU29" s="157"/>
      <c r="CV29" s="157"/>
      <c r="CW29" s="158"/>
      <c r="CX29" s="159"/>
      <c r="CY29" s="157"/>
      <c r="CZ29" s="157"/>
      <c r="DA29" s="157"/>
      <c r="DB29" s="157"/>
      <c r="DC29" s="158"/>
      <c r="DD29" s="159"/>
      <c r="DE29" s="157"/>
      <c r="DF29" s="157"/>
      <c r="DG29" s="157"/>
      <c r="DH29" s="157"/>
      <c r="DI29" s="158"/>
      <c r="DJ29" s="159"/>
      <c r="DK29" s="157"/>
      <c r="DL29" s="157"/>
      <c r="DM29" s="157"/>
      <c r="DN29" s="157"/>
      <c r="DO29" s="158"/>
      <c r="DP29" s="159"/>
      <c r="DQ29" s="157"/>
      <c r="DR29" s="157"/>
      <c r="DS29" s="157"/>
      <c r="DT29" s="157"/>
      <c r="DU29" s="158"/>
      <c r="DV29" s="159"/>
      <c r="DW29" s="157"/>
      <c r="DX29" s="157"/>
      <c r="DY29" s="157"/>
      <c r="DZ29" s="157"/>
      <c r="EA29" s="158"/>
      <c r="EB29" s="159"/>
      <c r="EC29" s="157"/>
      <c r="ED29" s="157"/>
      <c r="EE29" s="157"/>
      <c r="EF29" s="157"/>
      <c r="EG29" s="158"/>
      <c r="EH29" s="159"/>
      <c r="EI29" s="157"/>
      <c r="EJ29" s="157"/>
      <c r="EK29" s="157"/>
      <c r="EL29" s="157"/>
      <c r="EM29" s="158"/>
      <c r="EN29" s="159"/>
      <c r="EO29" s="157"/>
      <c r="EP29" s="157"/>
      <c r="EQ29" s="157"/>
      <c r="ER29" s="157"/>
      <c r="ES29" s="158"/>
      <c r="ET29" s="159"/>
      <c r="EU29" s="157"/>
      <c r="EV29" s="157"/>
      <c r="EW29" s="157"/>
      <c r="EX29" s="157"/>
      <c r="EY29" s="158"/>
      <c r="EZ29" s="159"/>
      <c r="FA29" s="157"/>
      <c r="FB29" s="157"/>
      <c r="FC29" s="157"/>
      <c r="FD29" s="157"/>
      <c r="FE29" s="158"/>
      <c r="FF29" s="159"/>
      <c r="FG29" s="157"/>
      <c r="FH29" s="157"/>
      <c r="FI29" s="157"/>
      <c r="FJ29" s="157"/>
      <c r="FK29" s="158"/>
      <c r="FL29" s="159"/>
      <c r="FM29" s="157"/>
      <c r="FN29" s="157"/>
      <c r="FO29" s="157"/>
      <c r="FP29" s="157"/>
      <c r="FQ29" s="158"/>
      <c r="FR29" s="159"/>
      <c r="FS29" s="157"/>
      <c r="FT29" s="157"/>
      <c r="FU29" s="157"/>
      <c r="FV29" s="157"/>
      <c r="FW29" s="158"/>
      <c r="FX29" s="159"/>
      <c r="FY29" s="157"/>
      <c r="FZ29" s="157"/>
      <c r="GA29" s="157"/>
      <c r="GB29" s="157"/>
      <c r="GC29" s="158"/>
      <c r="GD29" s="159"/>
      <c r="GE29" s="157"/>
      <c r="GF29" s="157"/>
      <c r="GG29" s="157"/>
      <c r="GH29" s="157"/>
      <c r="GI29" s="158"/>
      <c r="GJ29" s="159"/>
      <c r="GK29" s="157"/>
      <c r="GL29" s="157"/>
      <c r="GM29" s="157"/>
      <c r="GN29" s="157"/>
      <c r="GO29" s="158"/>
      <c r="GP29" s="159"/>
      <c r="GQ29" s="157"/>
      <c r="GR29" s="157"/>
      <c r="GS29" s="157"/>
      <c r="GT29" s="157"/>
      <c r="GU29" s="158"/>
      <c r="GV29" s="159"/>
      <c r="GW29" s="157"/>
      <c r="GX29" s="157"/>
      <c r="GY29" s="157"/>
      <c r="GZ29" s="157"/>
      <c r="HA29" s="158"/>
      <c r="HB29" s="159"/>
      <c r="HC29" s="157"/>
      <c r="HD29" s="157"/>
      <c r="HE29" s="157"/>
      <c r="HF29" s="157"/>
      <c r="HG29" s="158"/>
      <c r="HH29" s="159"/>
      <c r="HI29" s="157"/>
      <c r="HJ29" s="157"/>
      <c r="HK29" s="157"/>
      <c r="HL29" s="157"/>
      <c r="HM29" s="158"/>
      <c r="HN29" s="159"/>
      <c r="HO29" s="157"/>
      <c r="HP29" s="157"/>
      <c r="HQ29" s="157"/>
    </row>
    <row r="30" spans="1:225" x14ac:dyDescent="0.25">
      <c r="A30" s="458" t="s">
        <v>295</v>
      </c>
      <c r="B30" s="458"/>
      <c r="C30" s="458"/>
      <c r="D30" s="458"/>
      <c r="E30" s="458"/>
      <c r="F30" s="458"/>
      <c r="G30" s="458"/>
      <c r="H30" s="458"/>
    </row>
    <row r="31" spans="1:225" x14ac:dyDescent="0.25">
      <c r="A31" s="459"/>
      <c r="B31" s="459"/>
      <c r="C31" s="459"/>
      <c r="D31" s="459"/>
      <c r="E31" s="459"/>
      <c r="F31" s="459"/>
      <c r="G31" s="459"/>
      <c r="H31" s="459"/>
    </row>
  </sheetData>
  <mergeCells count="28">
    <mergeCell ref="N1:O1"/>
    <mergeCell ref="A2:J2"/>
    <mergeCell ref="A3:J3"/>
    <mergeCell ref="A4:J4"/>
    <mergeCell ref="A5:J5"/>
    <mergeCell ref="B27:C27"/>
    <mergeCell ref="B28:C28"/>
    <mergeCell ref="A29:C29"/>
    <mergeCell ref="A30:H31"/>
    <mergeCell ref="B20:C20"/>
    <mergeCell ref="A10:H10"/>
    <mergeCell ref="A11:H11"/>
    <mergeCell ref="A12:A14"/>
    <mergeCell ref="B12:C14"/>
    <mergeCell ref="D12:D13"/>
    <mergeCell ref="G12:G13"/>
    <mergeCell ref="H12:H13"/>
    <mergeCell ref="B15:C15"/>
    <mergeCell ref="B16:C16"/>
    <mergeCell ref="B17:C17"/>
    <mergeCell ref="B18:C18"/>
    <mergeCell ref="B19:C19"/>
    <mergeCell ref="B26:C26"/>
    <mergeCell ref="B21:C21"/>
    <mergeCell ref="B22:C22"/>
    <mergeCell ref="B23:C23"/>
    <mergeCell ref="B24:C24"/>
    <mergeCell ref="B25:C25"/>
  </mergeCells>
  <printOptions horizontalCentered="1"/>
  <pageMargins left="0.15748031496062992" right="0.19685039370078741" top="0.78740157480314965" bottom="0.78740157480314965" header="0.15748031496062992" footer="0.31496062992125984"/>
  <pageSetup paperSize="9" scale="74" firstPageNumber="25" orientation="portrait" useFirstPageNumber="1" r:id="rId1"/>
  <headerFooter scaleWithDoc="0">
    <oddFooter>&amp;C&amp;"-,Negrito itálico"Kaik Eduardo Silva Vilar
Engenheiro Civil
CREA: 241510947-9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16</vt:i4>
      </vt:variant>
    </vt:vector>
  </HeadingPairs>
  <TitlesOfParts>
    <vt:vector size="33" baseType="lpstr">
      <vt:lpstr>RESUMO</vt:lpstr>
      <vt:lpstr>Orçamento Sintético</vt:lpstr>
      <vt:lpstr>BDI-SERVIÇOS</vt:lpstr>
      <vt:lpstr>QUADRO DE RUAS (2)</vt:lpstr>
      <vt:lpstr>REG. SUBLEITO</vt:lpstr>
      <vt:lpstr>BASE</vt:lpstr>
      <vt:lpstr>IMPRIMAÇÃO</vt:lpstr>
      <vt:lpstr>TSD</vt:lpstr>
      <vt:lpstr>TRANSP. BRITA (PAV)</vt:lpstr>
      <vt:lpstr>TRANSP. EMULSÃO</vt:lpstr>
      <vt:lpstr>CÁLCULO DE MEIO-FIO E SARJETA</vt:lpstr>
      <vt:lpstr>SIN. HORIZ</vt:lpstr>
      <vt:lpstr>SIN. VERTICAL</vt:lpstr>
      <vt:lpstr>ADM</vt:lpstr>
      <vt:lpstr>COMP - MOBILIZAÇÃO</vt:lpstr>
      <vt:lpstr>COMP. IMPRIMAÇÃO</vt:lpstr>
      <vt:lpstr>COMP. TSD</vt:lpstr>
      <vt:lpstr>ADM!Area_de_impressao</vt:lpstr>
      <vt:lpstr>BASE!Area_de_impressao</vt:lpstr>
      <vt:lpstr>'CÁLCULO DE MEIO-FIO E SARJETA'!Area_de_impressao</vt:lpstr>
      <vt:lpstr>'COMP - MOBILIZAÇÃO'!Area_de_impressao</vt:lpstr>
      <vt:lpstr>'COMP. IMPRIMAÇÃO'!Area_de_impressao</vt:lpstr>
      <vt:lpstr>'COMP. TSD'!Area_de_impressao</vt:lpstr>
      <vt:lpstr>IMPRIMAÇÃO!Area_de_impressao</vt:lpstr>
      <vt:lpstr>'Orçamento Sintético'!Area_de_impressao</vt:lpstr>
      <vt:lpstr>'QUADRO DE RUAS (2)'!Area_de_impressao</vt:lpstr>
      <vt:lpstr>'REG. SUBLEITO'!Area_de_impressao</vt:lpstr>
      <vt:lpstr>RESUMO!Area_de_impressao</vt:lpstr>
      <vt:lpstr>'SIN. HORIZ'!Area_de_impressao</vt:lpstr>
      <vt:lpstr>'SIN. VERTICAL'!Area_de_impressao</vt:lpstr>
      <vt:lpstr>'TRANSP. BRITA (PAV)'!Area_de_impressao</vt:lpstr>
      <vt:lpstr>'TRANSP. EMULSÃO'!Area_de_impressao</vt:lpstr>
      <vt:lpstr>TSD!Area_de_impressao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Windows 11</cp:lastModifiedBy>
  <cp:revision>0</cp:revision>
  <cp:lastPrinted>2025-09-10T13:08:45Z</cp:lastPrinted>
  <dcterms:created xsi:type="dcterms:W3CDTF">2025-08-01T01:32:29Z</dcterms:created>
  <dcterms:modified xsi:type="dcterms:W3CDTF">2025-09-10T13:09:15Z</dcterms:modified>
</cp:coreProperties>
</file>